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achelkersten/Desktop/"/>
    </mc:Choice>
  </mc:AlternateContent>
  <xr:revisionPtr revIDLastSave="0" documentId="8_{4883FD4E-DC1B-0348-9782-4EE357E47109}" xr6:coauthVersionLast="47" xr6:coauthVersionMax="47" xr10:uidLastSave="{00000000-0000-0000-0000-000000000000}"/>
  <bookViews>
    <workbookView xWindow="4660" yWindow="600" windowWidth="35480" windowHeight="22480" activeTab="7" xr2:uid="{423E3D49-93DE-4473-A471-A442E95D5289}"/>
  </bookViews>
  <sheets>
    <sheet name="Block Builder" sheetId="6" r:id="rId1"/>
    <sheet name="List" sheetId="17" r:id="rId2"/>
    <sheet name="Use Allocation" sheetId="7" r:id="rId3"/>
    <sheet name="Summary" sheetId="8" r:id="rId4"/>
    <sheet name="Costs" sheetId="11" r:id="rId5"/>
    <sheet name="Market" sheetId="14" r:id="rId6"/>
    <sheet name="Value" sheetId="13" r:id="rId7"/>
    <sheet name="City Revenue" sheetId="12" r:id="rId8"/>
    <sheet name="Jobs" sheetId="10" r:id="rId9"/>
    <sheet name="Scorecard" sheetId="19" r:id="rId10"/>
    <sheet name="=&gt;&gt;" sheetId="16" r:id="rId11"/>
    <sheet name="Model" sheetId="1" r:id="rId12"/>
    <sheet name="Building Summary" sheetId="5" r:id="rId13"/>
    <sheet name="Data Sheet" sheetId="18" r:id="rId14"/>
    <sheet name="Financial Analyst" sheetId="24" state="hidden" r:id="rId15"/>
    <sheet name="EXISTING BUILDINGS" sheetId="23" state="hidden" r:id="rId16"/>
    <sheet name="OPEN SPACE" sheetId="22" state="hidden" r:id="rId17"/>
    <sheet name="NEW BUILDINGS" sheetId="21" state="hidden" r:id="rId18"/>
    <sheet name="Demand Jobs" sheetId="20" state="hidden" r:id="rId19"/>
    <sheet name="FRP" sheetId="25" state="hidden" r:id="rId20"/>
    <sheet name="Site Plan" sheetId="28" state="hidden" r:id="rId21"/>
    <sheet name="Financial Data" sheetId="27" state="hidden" r:id="rId22"/>
    <sheet name="POWER POINT" sheetId="29" state="hidden" r:id="rId23"/>
    <sheet name="PSF" sheetId="26" state="hidden" r:id="rId24"/>
  </sheets>
  <definedNames>
    <definedName name="_xlnm._FilterDatabase" localSheetId="12" hidden="1">'Building Summary'!$1:$1</definedName>
    <definedName name="_xlnm._FilterDatabase" localSheetId="21" hidden="1">'Financial Data'!$B$5:$F$5</definedName>
    <definedName name="_xlnm._FilterDatabase" localSheetId="23" hidden="1">PSF!$B$34:$I$34</definedName>
    <definedName name="_xlnm._FilterDatabase" localSheetId="3" hidden="1">Summary!$B$45:$D$63</definedName>
    <definedName name="_xlnm.Print_Area" localSheetId="0">'Block Builder'!$A$1:$T$37</definedName>
    <definedName name="_xlnm.Print_Area" localSheetId="12">'Building Summary'!$A$1:$AD$23</definedName>
    <definedName name="_xlnm.Print_Area" localSheetId="7">'City Revenue'!$A$1:$O$56</definedName>
    <definedName name="_xlnm.Print_Area" localSheetId="4">Costs!$A$1:$M$63</definedName>
    <definedName name="_xlnm.Print_Area" localSheetId="8">Jobs!$A$1:$O$46</definedName>
    <definedName name="_xlnm.Print_Area" localSheetId="5">Market!$A$1:$I$28</definedName>
    <definedName name="_xlnm.Print_Area" localSheetId="11">Model!$A$1:$BR$49</definedName>
    <definedName name="_xlnm.Print_Area" localSheetId="3">Summary!$B$1:$I$66</definedName>
    <definedName name="_xlnm.Print_Area" localSheetId="2">'Use Allocation'!$A$1:$L$53</definedName>
    <definedName name="_xlnm.Print_Area" localSheetId="6">Value!$A$1:$U$48</definedName>
    <definedName name="_xlnm.Print_Titles" localSheetId="0">'Block Builder'!$B:$B,'Block Builder'!$1:$1</definedName>
    <definedName name="_xlnm.Print_Titles" localSheetId="12">'Building Summary'!$A:$A,'Building Summary'!$1:$1</definedName>
    <definedName name="_xlnm.Print_Titles" localSheetId="11">Model!$A:$B,Model!$1:$1</definedName>
    <definedName name="ProtectBlockBuilder" localSheetId="18">#REF!,#REF!,#REF!,#REF!,#REF!,#REF!,#REF!,#REF!,#REF!</definedName>
    <definedName name="ProtectBlockBuilder" localSheetId="15">#REF!,#REF!,#REF!,#REF!,#REF!,#REF!,#REF!,#REF!,#REF!</definedName>
    <definedName name="ProtectBlockBuilder" localSheetId="14">#REF!,#REF!,#REF!,#REF!,#REF!,#REF!,#REF!,#REF!,#REF!</definedName>
    <definedName name="ProtectBlockBuilder" localSheetId="21">#REF!,#REF!,#REF!,#REF!,#REF!,#REF!,#REF!,#REF!,#REF!</definedName>
    <definedName name="ProtectBlockBuilder" localSheetId="19">#REF!,#REF!,#REF!,#REF!,#REF!,#REF!,#REF!,#REF!,#REF!</definedName>
    <definedName name="ProtectBlockBuilder" localSheetId="17">#REF!,#REF!,#REF!,#REF!,#REF!,#REF!,#REF!,#REF!,#REF!</definedName>
    <definedName name="ProtectBlockBuilder" localSheetId="16">#REF!,#REF!,#REF!,#REF!,#REF!,#REF!,#REF!,#REF!,#REF!</definedName>
    <definedName name="ProtectBlockBuilder" localSheetId="23">#REF!,#REF!,#REF!,#REF!,#REF!,#REF!,#REF!,#REF!,#REF!</definedName>
    <definedName name="ProtectBlockBuilder">'Block Builder'!$C$6:$H$10,'Block Builder'!$C$12:$H$15,'Block Builder'!$C$17:$H$18,'Block Builder'!$C$19:$G$19,'Block Builder'!$C$20:$D$20,'Block Builder'!$D$22,'Block Builder'!$F$24,'Block Builder'!$C$26:$H$26,'Block Builder'!$C$28:$H$30</definedName>
    <definedName name="ProtectSummary">Summary!$C$4:$C$6</definedName>
    <definedName name="ProtectUseAllocation" localSheetId="18">#REF!,#REF!,#REF!,#REF!,#REF!,#REF!,#REF!,#REF!,#REF!,#REF!,#REF!,#REF!</definedName>
    <definedName name="ProtectUseAllocation" localSheetId="15">#REF!,#REF!,#REF!,#REF!,#REF!,#REF!,#REF!,#REF!,#REF!,#REF!,#REF!,#REF!</definedName>
    <definedName name="ProtectUseAllocation" localSheetId="14">#REF!,#REF!,#REF!,#REF!,#REF!,#REF!,#REF!,#REF!,#REF!,#REF!,#REF!,#REF!</definedName>
    <definedName name="ProtectUseAllocation" localSheetId="21">#REF!,#REF!,#REF!,#REF!,#REF!,#REF!,#REF!,#REF!,#REF!,#REF!,#REF!,#REF!</definedName>
    <definedName name="ProtectUseAllocation" localSheetId="19">#REF!,#REF!,#REF!,#REF!,#REF!,#REF!,#REF!,#REF!,#REF!,#REF!,#REF!,#REF!</definedName>
    <definedName name="ProtectUseAllocation" localSheetId="17">#REF!,#REF!,#REF!,#REF!,#REF!,#REF!,#REF!,#REF!,#REF!,#REF!,#REF!,#REF!</definedName>
    <definedName name="ProtectUseAllocation" localSheetId="16">#REF!,#REF!,#REF!,#REF!,#REF!,#REF!,#REF!,#REF!,#REF!,#REF!,#REF!,#REF!</definedName>
    <definedName name="ProtectUseAllocation" localSheetId="23">#REF!,#REF!,#REF!,#REF!,#REF!,#REF!,#REF!,#REF!,#REF!,#REF!,#REF!,#REF!</definedName>
    <definedName name="ProtectUseAllocation">'Use Allocation'!$E$5:$E$7,'Use Allocation'!$J$6,'Use Allocation'!$E$11,'Use Allocation'!$G$13,'Use Allocation'!$I$14:$I$16,'Use Allocation'!$G$23,'Use Allocation'!$I$24:$I$26,'Use Allocation'!$E$27:$E$37,'Use Allocation'!$F$38:$F$39,'Use Allocation'!$G$46,'Use Allocation'!$I$47:$I$48,'Use Allocation'!$F$49:$F$50</definedName>
    <definedName name="sBuilding" localSheetId="18">#REF!</definedName>
    <definedName name="sBuilding" localSheetId="15">#REF!</definedName>
    <definedName name="sBuilding" localSheetId="14">#REF!</definedName>
    <definedName name="sBuilding" localSheetId="21">#REF!</definedName>
    <definedName name="sBuilding" localSheetId="19">#REF!</definedName>
    <definedName name="sBuilding" localSheetId="17">#REF!</definedName>
    <definedName name="sBuilding" localSheetId="16">#REF!</definedName>
    <definedName name="sBuilding" localSheetId="23">#REF!</definedName>
    <definedName name="sBuilding">'Building Summary'!$A$2:$A$22</definedName>
    <definedName name="sBuilding_Cost" localSheetId="18">#REF!</definedName>
    <definedName name="sBuilding_Cost" localSheetId="15">#REF!</definedName>
    <definedName name="sBuilding_Cost" localSheetId="14">#REF!</definedName>
    <definedName name="sBuilding_Cost" localSheetId="21">#REF!</definedName>
    <definedName name="sBuilding_Cost" localSheetId="19">#REF!</definedName>
    <definedName name="sBuilding_Cost" localSheetId="17">#REF!</definedName>
    <definedName name="sBuilding_Cost" localSheetId="16">#REF!</definedName>
    <definedName name="sBuilding_Cost" localSheetId="23">#REF!</definedName>
    <definedName name="sBuilding_Cost">'Building Summary'!$AD$2:$AD$22</definedName>
    <definedName name="sCommunity_Commercial_SF" localSheetId="18">#REF!</definedName>
    <definedName name="sCommunity_Commercial_SF" localSheetId="15">#REF!</definedName>
    <definedName name="sCommunity_Commercial_SF" localSheetId="14">#REF!</definedName>
    <definedName name="sCommunity_Commercial_SF" localSheetId="21">#REF!</definedName>
    <definedName name="sCommunity_Commercial_SF" localSheetId="19">#REF!</definedName>
    <definedName name="sCommunity_Commercial_SF" localSheetId="17">#REF!</definedName>
    <definedName name="sCommunity_Commercial_SF" localSheetId="16">#REF!</definedName>
    <definedName name="sCommunity_Commercial_SF" localSheetId="23">#REF!</definedName>
    <definedName name="sCommunity_Commercial_SF">'Building Summary'!$I$2:$I$22</definedName>
    <definedName name="sCommunitySF" localSheetId="18">#REF!</definedName>
    <definedName name="sCommunitySF" localSheetId="15">#REF!</definedName>
    <definedName name="sCommunitySF" localSheetId="14">#REF!</definedName>
    <definedName name="sCommunitySF" localSheetId="21">#REF!</definedName>
    <definedName name="sCommunitySF" localSheetId="19">#REF!</definedName>
    <definedName name="sCommunitySF" localSheetId="17">#REF!</definedName>
    <definedName name="sCommunitySF" localSheetId="16">#REF!</definedName>
    <definedName name="sCommunitySF" localSheetId="23">#REF!</definedName>
    <definedName name="sCommunitySF">'Building Summary'!$H$2:$H$22</definedName>
    <definedName name="sOfficeSF" localSheetId="18">#REF!</definedName>
    <definedName name="sOfficeSF" localSheetId="15">#REF!</definedName>
    <definedName name="sOfficeSF" localSheetId="14">#REF!</definedName>
    <definedName name="sOfficeSF" localSheetId="21">#REF!</definedName>
    <definedName name="sOfficeSF" localSheetId="19">#REF!</definedName>
    <definedName name="sOfficeSF" localSheetId="17">#REF!</definedName>
    <definedName name="sOfficeSF" localSheetId="16">#REF!</definedName>
    <definedName name="sOfficeSF" localSheetId="23">#REF!</definedName>
    <definedName name="sOfficeSF">'Building Summary'!$E$2:$E$22</definedName>
    <definedName name="sOpenSpace" localSheetId="18">#REF!</definedName>
    <definedName name="sOpenSpace" localSheetId="15">#REF!</definedName>
    <definedName name="sOpenSpace" localSheetId="14">#REF!</definedName>
    <definedName name="sOpenSpace" localSheetId="21">#REF!</definedName>
    <definedName name="sOpenSpace" localSheetId="19">#REF!</definedName>
    <definedName name="sOpenSpace" localSheetId="17">#REF!</definedName>
    <definedName name="sOpenSpace" localSheetId="16">#REF!</definedName>
    <definedName name="sOpenSpace" localSheetId="23">#REF!</definedName>
    <definedName name="sOpenSpace">'Building Summary'!$O$2:$O$22</definedName>
    <definedName name="sParking_Footprint" localSheetId="18">#REF!</definedName>
    <definedName name="sParking_Footprint" localSheetId="15">#REF!</definedName>
    <definedName name="sParking_Footprint" localSheetId="14">#REF!</definedName>
    <definedName name="sParking_Footprint" localSheetId="21">#REF!</definedName>
    <definedName name="sParking_Footprint" localSheetId="19">#REF!</definedName>
    <definedName name="sParking_Footprint" localSheetId="17">#REF!</definedName>
    <definedName name="sParking_Footprint" localSheetId="16">#REF!</definedName>
    <definedName name="sParking_Footprint" localSheetId="23">#REF!</definedName>
    <definedName name="sParking_Footprint">'Building Summary'!$R$2:$R$22</definedName>
    <definedName name="sParking_Structured" localSheetId="18">#REF!</definedName>
    <definedName name="sParking_Structured" localSheetId="15">#REF!</definedName>
    <definedName name="sParking_Structured" localSheetId="14">#REF!</definedName>
    <definedName name="sParking_Structured" localSheetId="21">#REF!</definedName>
    <definedName name="sParking_Structured" localSheetId="19">#REF!</definedName>
    <definedName name="sParking_Structured" localSheetId="17">#REF!</definedName>
    <definedName name="sParking_Structured" localSheetId="16">#REF!</definedName>
    <definedName name="sParking_Structured" localSheetId="23">#REF!</definedName>
    <definedName name="sParking_Structured">'Building Summary'!$W$2:$W$22</definedName>
    <definedName name="sParking_Subterranean" localSheetId="18">#REF!</definedName>
    <definedName name="sParking_Subterranean" localSheetId="15">#REF!</definedName>
    <definedName name="sParking_Subterranean" localSheetId="14">#REF!</definedName>
    <definedName name="sParking_Subterranean" localSheetId="21">#REF!</definedName>
    <definedName name="sParking_Subterranean" localSheetId="19">#REF!</definedName>
    <definedName name="sParking_Subterranean" localSheetId="17">#REF!</definedName>
    <definedName name="sParking_Subterranean" localSheetId="16">#REF!</definedName>
    <definedName name="sParking_Subterranean" localSheetId="23">#REF!</definedName>
    <definedName name="sParking_Subterranean">'Building Summary'!$X$2:$X$22</definedName>
    <definedName name="sParking_Surface" localSheetId="18">#REF!</definedName>
    <definedName name="sParking_Surface" localSheetId="15">#REF!</definedName>
    <definedName name="sParking_Surface" localSheetId="14">#REF!</definedName>
    <definedName name="sParking_Surface" localSheetId="21">#REF!</definedName>
    <definedName name="sParking_Surface" localSheetId="19">#REF!</definedName>
    <definedName name="sParking_Surface" localSheetId="17">#REF!</definedName>
    <definedName name="sParking_Surface" localSheetId="16">#REF!</definedName>
    <definedName name="sParking_Surface" localSheetId="23">#REF!</definedName>
    <definedName name="sParking_Surface">'Building Summary'!$V$2:$V$22</definedName>
    <definedName name="sParking_TotalUnits" localSheetId="18">#REF!</definedName>
    <definedName name="sParking_TotalUnits" localSheetId="15">#REF!</definedName>
    <definedName name="sParking_TotalUnits" localSheetId="14">#REF!</definedName>
    <definedName name="sParking_TotalUnits" localSheetId="21">#REF!</definedName>
    <definedName name="sParking_TotalUnits" localSheetId="19">#REF!</definedName>
    <definedName name="sParking_TotalUnits" localSheetId="17">#REF!</definedName>
    <definedName name="sParking_TotalUnits" localSheetId="16">#REF!</definedName>
    <definedName name="sParking_TotalUnits" localSheetId="23">#REF!</definedName>
    <definedName name="sParking_TotalUnits">'Building Summary'!$Y$2:$Y$22</definedName>
    <definedName name="sParkingSF">'Building Summary'!$N$2:$N$22</definedName>
    <definedName name="sResiSF" localSheetId="18">#REF!</definedName>
    <definedName name="sResiSF" localSheetId="15">#REF!</definedName>
    <definedName name="sResiSF" localSheetId="14">#REF!</definedName>
    <definedName name="sResiSF" localSheetId="21">#REF!</definedName>
    <definedName name="sResiSF" localSheetId="19">#REF!</definedName>
    <definedName name="sResiSF" localSheetId="17">#REF!</definedName>
    <definedName name="sResiSF" localSheetId="16">#REF!</definedName>
    <definedName name="sResiSF" localSheetId="23">#REF!</definedName>
    <definedName name="sResiSF">'Building Summary'!$F$2:$F$22</definedName>
    <definedName name="sResiUnitCount" localSheetId="18">#REF!</definedName>
    <definedName name="sResiUnitCount" localSheetId="15">#REF!</definedName>
    <definedName name="sResiUnitCount" localSheetId="14">#REF!</definedName>
    <definedName name="sResiUnitCount" localSheetId="21">#REF!</definedName>
    <definedName name="sResiUnitCount" localSheetId="19">#REF!</definedName>
    <definedName name="sResiUnitCount" localSheetId="17">#REF!</definedName>
    <definedName name="sResiUnitCount" localSheetId="16">#REF!</definedName>
    <definedName name="sResiUnitCount" localSheetId="23">#REF!</definedName>
    <definedName name="sResiUnitCount">'Building Summary'!$M$2:$M$22</definedName>
    <definedName name="sRetailSF" localSheetId="18">#REF!</definedName>
    <definedName name="sRetailSF" localSheetId="15">#REF!</definedName>
    <definedName name="sRetailSF" localSheetId="14">#REF!</definedName>
    <definedName name="sRetailSF" localSheetId="21">#REF!</definedName>
    <definedName name="sRetailSF" localSheetId="19">#REF!</definedName>
    <definedName name="sRetailSF" localSheetId="17">#REF!</definedName>
    <definedName name="sRetailSF" localSheetId="16">#REF!</definedName>
    <definedName name="sRetailSF" localSheetId="23">#REF!</definedName>
    <definedName name="sRetailSF">'Building Summary'!$G$2:$G$22</definedName>
    <definedName name="sShelter_SF" localSheetId="18">#REF!</definedName>
    <definedName name="sShelter_SF" localSheetId="15">#REF!</definedName>
    <definedName name="sShelter_SF" localSheetId="14">#REF!</definedName>
    <definedName name="sShelter_SF" localSheetId="21">#REF!</definedName>
    <definedName name="sShelter_SF" localSheetId="19">#REF!</definedName>
    <definedName name="sShelter_SF" localSheetId="17">#REF!</definedName>
    <definedName name="sShelter_SF" localSheetId="16">#REF!</definedName>
    <definedName name="sShelter_SF" localSheetId="23">#REF!</definedName>
    <definedName name="sShelter_SF">'Building Summary'!$J$2:$J$22</definedName>
    <definedName name="TotalSiteArea" localSheetId="18">#REF!</definedName>
    <definedName name="TotalSiteArea" localSheetId="15">#REF!</definedName>
    <definedName name="TotalSiteArea" localSheetId="14">#REF!</definedName>
    <definedName name="TotalSiteArea" localSheetId="21">#REF!</definedName>
    <definedName name="TotalSiteArea" localSheetId="19">#REF!</definedName>
    <definedName name="TotalSiteArea" localSheetId="17">#REF!</definedName>
    <definedName name="TotalSiteArea" localSheetId="16">#REF!</definedName>
    <definedName name="TotalSiteArea" localSheetId="23">#REF!</definedName>
    <definedName name="TotalSiteArea">Model!$I$14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7" l="1"/>
  <c r="F8" i="27"/>
  <c r="F9" i="27"/>
  <c r="F10" i="27"/>
  <c r="F11" i="27"/>
  <c r="F12" i="27"/>
  <c r="F13" i="27"/>
  <c r="F14" i="27"/>
  <c r="F15" i="27"/>
  <c r="F16" i="27"/>
  <c r="F17" i="27"/>
  <c r="F18" i="27"/>
  <c r="F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6" i="27"/>
  <c r="C40" i="27" l="1"/>
  <c r="C41" i="27"/>
  <c r="B38" i="27"/>
  <c r="B39" i="27"/>
  <c r="B40" i="27"/>
  <c r="B41" i="27"/>
  <c r="B42" i="27"/>
  <c r="B43" i="27"/>
  <c r="B44" i="27"/>
  <c r="B37" i="27"/>
  <c r="G13" i="26" l="1"/>
  <c r="H13" i="26"/>
  <c r="G14" i="26"/>
  <c r="H14" i="26"/>
  <c r="C3" i="26"/>
  <c r="F5" i="26" l="1"/>
  <c r="J9" i="26"/>
  <c r="J10" i="26"/>
  <c r="J12" i="26"/>
  <c r="J13" i="26"/>
  <c r="J14" i="26"/>
  <c r="J8" i="26"/>
  <c r="J7" i="26"/>
  <c r="J11" i="26" l="1"/>
  <c r="I46" i="26" l="1"/>
  <c r="D46" i="26"/>
  <c r="G46" i="26" s="1"/>
  <c r="I45" i="26"/>
  <c r="D45" i="26"/>
  <c r="G45" i="26" s="1"/>
  <c r="I44" i="26"/>
  <c r="D44" i="26"/>
  <c r="G44" i="26" s="1"/>
  <c r="I43" i="26"/>
  <c r="D43" i="26"/>
  <c r="G43" i="26" s="1"/>
  <c r="D42" i="26"/>
  <c r="G42" i="26" s="1"/>
  <c r="J42" i="26" s="1"/>
  <c r="G38" i="26"/>
  <c r="J38" i="26" s="1"/>
  <c r="I37" i="26"/>
  <c r="J37" i="26" s="1"/>
  <c r="G37" i="26"/>
  <c r="I36" i="26"/>
  <c r="D36" i="26"/>
  <c r="G36" i="26" s="1"/>
  <c r="I35" i="26"/>
  <c r="D35" i="26"/>
  <c r="G35" i="26" s="1"/>
  <c r="F30" i="26"/>
  <c r="F29" i="26"/>
  <c r="F28" i="26"/>
  <c r="F27" i="26"/>
  <c r="F26" i="26"/>
  <c r="F25" i="26"/>
  <c r="F24" i="26"/>
  <c r="F20" i="26"/>
  <c r="F19" i="26"/>
  <c r="F18" i="26"/>
  <c r="F17" i="26"/>
  <c r="H12" i="26"/>
  <c r="G12" i="26"/>
  <c r="H11" i="26"/>
  <c r="G11" i="26"/>
  <c r="H10" i="26"/>
  <c r="G10" i="26"/>
  <c r="H9" i="26"/>
  <c r="G9" i="26"/>
  <c r="H8" i="26"/>
  <c r="G8" i="26"/>
  <c r="H7" i="26"/>
  <c r="G7" i="26"/>
  <c r="J26" i="7"/>
  <c r="J25" i="7"/>
  <c r="J24" i="7"/>
  <c r="Y7" i="5"/>
  <c r="Y8" i="5"/>
  <c r="Y9" i="5"/>
  <c r="Y10" i="5"/>
  <c r="Y11" i="5"/>
  <c r="Y12" i="5"/>
  <c r="Y13" i="5"/>
  <c r="Y14" i="5"/>
  <c r="Y15" i="5"/>
  <c r="Y16" i="5"/>
  <c r="Y17" i="5"/>
  <c r="Y18" i="5"/>
  <c r="L15" i="5"/>
  <c r="L16" i="5"/>
  <c r="L17" i="5"/>
  <c r="L18" i="5"/>
  <c r="L14" i="5"/>
  <c r="BN26" i="1"/>
  <c r="BN28" i="1"/>
  <c r="BN30" i="1"/>
  <c r="BN31" i="1"/>
  <c r="BN32" i="1"/>
  <c r="BN33" i="1"/>
  <c r="BN25" i="1"/>
  <c r="BM38" i="1"/>
  <c r="BM37" i="1"/>
  <c r="BM36" i="1"/>
  <c r="BM35" i="1"/>
  <c r="BM34" i="1"/>
  <c r="BM33" i="1"/>
  <c r="BM32" i="1"/>
  <c r="BM31" i="1"/>
  <c r="BM30" i="1"/>
  <c r="BL26" i="1"/>
  <c r="BL27" i="1"/>
  <c r="BL28" i="1"/>
  <c r="BL29" i="1"/>
  <c r="BL30" i="1"/>
  <c r="BL35" i="1"/>
  <c r="BL36" i="1"/>
  <c r="BL37" i="1"/>
  <c r="BL38" i="1"/>
  <c r="BL25" i="1"/>
  <c r="J25" i="1" a="1"/>
  <c r="J25" i="1" s="1"/>
  <c r="D15" i="8"/>
  <c r="D14" i="8"/>
  <c r="D13" i="8"/>
  <c r="BR49" i="1"/>
  <c r="BS49" i="1"/>
  <c r="BT49" i="1"/>
  <c r="BU49" i="1"/>
  <c r="BV49" i="1"/>
  <c r="BW49" i="1"/>
  <c r="BX49" i="1"/>
  <c r="BY49" i="1"/>
  <c r="BZ49" i="1"/>
  <c r="T46" i="13"/>
  <c r="AM49" i="1"/>
  <c r="AN49" i="1"/>
  <c r="AO49" i="1"/>
  <c r="AP49" i="1"/>
  <c r="J43" i="26" l="1"/>
  <c r="J44" i="26"/>
  <c r="J35" i="26"/>
  <c r="J45" i="26"/>
  <c r="J36" i="26"/>
  <c r="J46" i="26"/>
  <c r="Y6" i="5"/>
  <c r="G40" i="8"/>
  <c r="D28" i="10"/>
  <c r="H28" i="10" s="1"/>
  <c r="E28" i="10"/>
  <c r="F28" i="10"/>
  <c r="G28" i="10"/>
  <c r="D29" i="10"/>
  <c r="E29" i="10"/>
  <c r="F29" i="10"/>
  <c r="G29" i="10"/>
  <c r="D30" i="10"/>
  <c r="H30" i="10" s="1"/>
  <c r="E30" i="10"/>
  <c r="F30" i="10"/>
  <c r="G30" i="10"/>
  <c r="AV29" i="1"/>
  <c r="AT29" i="1"/>
  <c r="H29" i="10" l="1"/>
  <c r="B23" i="19"/>
  <c r="B2" i="19" l="1"/>
  <c r="C137" i="18"/>
  <c r="C136" i="18"/>
  <c r="C135" i="18"/>
  <c r="C134" i="18"/>
  <c r="C133" i="18"/>
  <c r="C132" i="18"/>
  <c r="C131" i="18"/>
  <c r="C120" i="18"/>
  <c r="C121" i="18"/>
  <c r="C122" i="18"/>
  <c r="C123" i="18"/>
  <c r="C124" i="18"/>
  <c r="C125" i="18"/>
  <c r="C126" i="18"/>
  <c r="C127" i="18"/>
  <c r="C128" i="18"/>
  <c r="C129" i="18"/>
  <c r="C130" i="18"/>
  <c r="C119" i="18"/>
  <c r="C117" i="18"/>
  <c r="C118" i="18"/>
  <c r="C116" i="18"/>
  <c r="C115" i="18"/>
  <c r="C113" i="18" l="1"/>
  <c r="C114" i="18"/>
  <c r="C112" i="18"/>
  <c r="C111" i="18"/>
  <c r="C110" i="18"/>
  <c r="C109" i="18"/>
  <c r="C107" i="18"/>
  <c r="C108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2" i="18"/>
  <c r="C33" i="18"/>
  <c r="C34" i="18"/>
  <c r="C35" i="18"/>
  <c r="C31" i="18"/>
  <c r="C26" i="18"/>
  <c r="C27" i="18"/>
  <c r="C28" i="18"/>
  <c r="C29" i="18"/>
  <c r="C30" i="18"/>
  <c r="C25" i="18"/>
  <c r="C20" i="18"/>
  <c r="C21" i="18"/>
  <c r="C22" i="18"/>
  <c r="C23" i="18"/>
  <c r="C24" i="18"/>
  <c r="C19" i="18"/>
  <c r="C14" i="18"/>
  <c r="C15" i="18"/>
  <c r="C16" i="18"/>
  <c r="C17" i="18"/>
  <c r="C18" i="18"/>
  <c r="C13" i="18"/>
  <c r="C8" i="18"/>
  <c r="C9" i="18"/>
  <c r="C10" i="18"/>
  <c r="C11" i="18"/>
  <c r="C12" i="18"/>
  <c r="C7" i="18"/>
  <c r="C5" i="18"/>
  <c r="C6" i="18"/>
  <c r="C4" i="18"/>
  <c r="BD45" i="1" l="1"/>
  <c r="BD44" i="1"/>
  <c r="BD43" i="1"/>
  <c r="BD39" i="1"/>
  <c r="BD38" i="1"/>
  <c r="BD37" i="1"/>
  <c r="BD36" i="1"/>
  <c r="BD35" i="1"/>
  <c r="BD34" i="1"/>
  <c r="BD33" i="1"/>
  <c r="BD32" i="1"/>
  <c r="BD31" i="1"/>
  <c r="BD30" i="1"/>
  <c r="BD29" i="1"/>
  <c r="BD28" i="1"/>
  <c r="BD27" i="1"/>
  <c r="BD26" i="1"/>
  <c r="BD25" i="1"/>
  <c r="BC45" i="1"/>
  <c r="BC44" i="1"/>
  <c r="BC43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B39" i="1"/>
  <c r="BB33" i="1"/>
  <c r="BB32" i="1"/>
  <c r="BB31" i="1"/>
  <c r="BB30" i="1"/>
  <c r="BB28" i="1"/>
  <c r="BB26" i="1"/>
  <c r="BB25" i="1"/>
  <c r="F42" i="1" l="1"/>
  <c r="J47" i="7" l="1"/>
  <c r="J48" i="7"/>
  <c r="D59" i="8"/>
  <c r="C62" i="10" s="1"/>
  <c r="D58" i="8"/>
  <c r="C61" i="10" s="1"/>
  <c r="C47" i="8"/>
  <c r="C50" i="10" l="1"/>
  <c r="F50" i="10" s="1"/>
  <c r="D61" i="10"/>
  <c r="G61" i="10"/>
  <c r="E61" i="10"/>
  <c r="F61" i="10"/>
  <c r="D62" i="10"/>
  <c r="G62" i="10"/>
  <c r="F62" i="10"/>
  <c r="E62" i="10"/>
  <c r="E50" i="10" l="1"/>
  <c r="D50" i="10"/>
  <c r="G50" i="10"/>
  <c r="M40" i="13"/>
  <c r="O40" i="13"/>
  <c r="Q40" i="13"/>
  <c r="S40" i="13"/>
  <c r="H53" i="11" l="1"/>
  <c r="C49" i="1" l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H49" i="1"/>
  <c r="BI49" i="1"/>
  <c r="BJ49" i="1"/>
  <c r="BK49" i="1"/>
  <c r="BL49" i="1"/>
  <c r="BM49" i="1"/>
  <c r="BN49" i="1"/>
  <c r="BO49" i="1"/>
  <c r="BP49" i="1"/>
  <c r="BQ49" i="1"/>
  <c r="B49" i="1"/>
  <c r="I41" i="7"/>
  <c r="G41" i="7"/>
  <c r="C48" i="8" l="1"/>
  <c r="C49" i="8"/>
  <c r="C52" i="10" s="1"/>
  <c r="C50" i="8"/>
  <c r="C53" i="10" s="1"/>
  <c r="C51" i="8"/>
  <c r="C54" i="10" s="1"/>
  <c r="C52" i="8"/>
  <c r="C55" i="10" s="1"/>
  <c r="C53" i="8"/>
  <c r="C56" i="10" s="1"/>
  <c r="C54" i="8"/>
  <c r="C57" i="10" s="1"/>
  <c r="C55" i="8"/>
  <c r="C56" i="8"/>
  <c r="C59" i="10" s="1"/>
  <c r="C57" i="8"/>
  <c r="C60" i="10" s="1"/>
  <c r="D9" i="12"/>
  <c r="D10" i="12"/>
  <c r="C31" i="1"/>
  <c r="J11" i="11"/>
  <c r="J7" i="11"/>
  <c r="J8" i="11"/>
  <c r="C58" i="10" l="1"/>
  <c r="F58" i="10" s="1"/>
  <c r="B17" i="19"/>
  <c r="C51" i="10"/>
  <c r="D51" i="10" s="1"/>
  <c r="C63" i="8"/>
  <c r="E57" i="10"/>
  <c r="F57" i="10"/>
  <c r="G57" i="10"/>
  <c r="D57" i="10"/>
  <c r="D56" i="10"/>
  <c r="G56" i="10"/>
  <c r="F56" i="10"/>
  <c r="E56" i="10"/>
  <c r="D54" i="10"/>
  <c r="F54" i="10"/>
  <c r="G54" i="10"/>
  <c r="E54" i="10"/>
  <c r="E55" i="10"/>
  <c r="D55" i="10"/>
  <c r="G55" i="10"/>
  <c r="F55" i="10"/>
  <c r="D53" i="10"/>
  <c r="E53" i="10"/>
  <c r="F53" i="10"/>
  <c r="G53" i="10"/>
  <c r="D60" i="10"/>
  <c r="G60" i="10"/>
  <c r="F60" i="10"/>
  <c r="E60" i="10"/>
  <c r="D59" i="10"/>
  <c r="F59" i="10"/>
  <c r="G59" i="10"/>
  <c r="E59" i="10"/>
  <c r="D52" i="10"/>
  <c r="G52" i="10"/>
  <c r="F52" i="10"/>
  <c r="E52" i="10"/>
  <c r="G58" i="10" l="1"/>
  <c r="D58" i="10"/>
  <c r="E58" i="10"/>
  <c r="F51" i="10"/>
  <c r="F34" i="10" s="1"/>
  <c r="E51" i="10"/>
  <c r="E34" i="10" s="1"/>
  <c r="G51" i="10"/>
  <c r="D34" i="10"/>
  <c r="L4" i="5"/>
  <c r="G34" i="10" l="1"/>
  <c r="H34" i="10" s="1"/>
  <c r="L5" i="5" l="1"/>
  <c r="S35" i="6"/>
  <c r="E10" i="7" l="1"/>
  <c r="D40" i="1" l="1"/>
  <c r="D39" i="1"/>
  <c r="AV27" i="1"/>
  <c r="AT27" i="1"/>
  <c r="AV34" i="1"/>
  <c r="AS34" i="1"/>
  <c r="D33" i="1"/>
  <c r="D34" i="1"/>
  <c r="J14" i="7" l="1"/>
  <c r="J15" i="7"/>
  <c r="J16" i="7"/>
  <c r="U15" i="5"/>
  <c r="U17" i="5"/>
  <c r="U14" i="5"/>
  <c r="J19" i="7" l="1"/>
  <c r="L2" i="5" l="1"/>
  <c r="Z9" i="5" l="1"/>
  <c r="R9" i="5"/>
  <c r="S9" i="5"/>
  <c r="C34" i="1"/>
  <c r="E34" i="1"/>
  <c r="F34" i="1"/>
  <c r="G34" i="1"/>
  <c r="H34" i="1"/>
  <c r="J34" i="1" a="1"/>
  <c r="J34" i="1" s="1"/>
  <c r="BP34" i="1"/>
  <c r="CA34" i="1"/>
  <c r="I34" i="1" l="1"/>
  <c r="K9" i="5"/>
  <c r="R14" i="5"/>
  <c r="M15" i="6" l="1"/>
  <c r="AC9" i="5"/>
  <c r="T9" i="5" s="1"/>
  <c r="H12" i="8" l="1"/>
  <c r="J39" i="11"/>
  <c r="J38" i="11"/>
  <c r="L53" i="11"/>
  <c r="I14" i="1"/>
  <c r="BO43" i="1"/>
  <c r="BO44" i="1"/>
  <c r="BO45" i="1"/>
  <c r="AA42" i="1"/>
  <c r="AA41" i="1"/>
  <c r="AA40" i="1"/>
  <c r="AA25" i="1"/>
  <c r="AA27" i="1"/>
  <c r="AA26" i="1"/>
  <c r="N49" i="12"/>
  <c r="H26" i="8" s="1"/>
  <c r="BY41" i="1"/>
  <c r="N48" i="12" l="1"/>
  <c r="H25" i="8" s="1"/>
  <c r="J13" i="11" l="1"/>
  <c r="J12" i="11"/>
  <c r="J6" i="11"/>
  <c r="J33" i="11"/>
  <c r="J37" i="11"/>
  <c r="BQ42" i="1" l="1"/>
  <c r="BQ41" i="1"/>
  <c r="BQ40" i="1"/>
  <c r="E44" i="7" l="1"/>
  <c r="H44" i="7" s="1"/>
  <c r="J52" i="7" l="1"/>
  <c r="F5" i="5" l="1"/>
  <c r="I34" i="6" l="1"/>
  <c r="C27" i="1"/>
  <c r="D27" i="1"/>
  <c r="E27" i="1"/>
  <c r="F27" i="1"/>
  <c r="G27" i="1"/>
  <c r="H27" i="1"/>
  <c r="C25" i="1"/>
  <c r="D25" i="1"/>
  <c r="E25" i="1"/>
  <c r="F25" i="1"/>
  <c r="G25" i="1"/>
  <c r="H25" i="1"/>
  <c r="C28" i="1"/>
  <c r="D28" i="1"/>
  <c r="E28" i="1"/>
  <c r="F28" i="1"/>
  <c r="G28" i="1"/>
  <c r="H28" i="1"/>
  <c r="C29" i="1"/>
  <c r="D29" i="1"/>
  <c r="E29" i="1"/>
  <c r="F29" i="1"/>
  <c r="G29" i="1"/>
  <c r="H29" i="1"/>
  <c r="C30" i="1"/>
  <c r="D30" i="1"/>
  <c r="E30" i="1"/>
  <c r="F30" i="1"/>
  <c r="G30" i="1"/>
  <c r="H30" i="1"/>
  <c r="D31" i="1"/>
  <c r="E31" i="1"/>
  <c r="F31" i="1"/>
  <c r="G31" i="1"/>
  <c r="H31" i="1"/>
  <c r="C32" i="1"/>
  <c r="D32" i="1"/>
  <c r="E32" i="1"/>
  <c r="F32" i="1"/>
  <c r="G32" i="1"/>
  <c r="H32" i="1"/>
  <c r="C33" i="1"/>
  <c r="E33" i="1"/>
  <c r="F33" i="1"/>
  <c r="G33" i="1"/>
  <c r="H33" i="1"/>
  <c r="C35" i="1"/>
  <c r="D35" i="1"/>
  <c r="E35" i="1"/>
  <c r="F35" i="1"/>
  <c r="G35" i="1"/>
  <c r="H35" i="1"/>
  <c r="C36" i="1"/>
  <c r="D36" i="1"/>
  <c r="E36" i="1"/>
  <c r="F36" i="1"/>
  <c r="G36" i="1"/>
  <c r="H36" i="1"/>
  <c r="C37" i="1"/>
  <c r="D37" i="1"/>
  <c r="E37" i="1"/>
  <c r="F37" i="1"/>
  <c r="G37" i="1"/>
  <c r="H37" i="1"/>
  <c r="C38" i="1"/>
  <c r="D38" i="1"/>
  <c r="E38" i="1"/>
  <c r="F38" i="1"/>
  <c r="G38" i="1"/>
  <c r="H38" i="1"/>
  <c r="C43" i="1"/>
  <c r="D43" i="1"/>
  <c r="E43" i="1"/>
  <c r="F43" i="1"/>
  <c r="G43" i="1"/>
  <c r="H43" i="1"/>
  <c r="C44" i="1"/>
  <c r="D44" i="1"/>
  <c r="E44" i="1"/>
  <c r="F44" i="1"/>
  <c r="G44" i="1"/>
  <c r="H44" i="1"/>
  <c r="C45" i="1"/>
  <c r="D45" i="1"/>
  <c r="E45" i="1"/>
  <c r="F45" i="1"/>
  <c r="G45" i="1"/>
  <c r="H45" i="1"/>
  <c r="D26" i="1"/>
  <c r="E26" i="1"/>
  <c r="F26" i="1"/>
  <c r="G26" i="1"/>
  <c r="H26" i="1"/>
  <c r="C26" i="1"/>
  <c r="CA30" i="1" l="1"/>
  <c r="CA31" i="1"/>
  <c r="CA32" i="1"/>
  <c r="CA33" i="1"/>
  <c r="CA35" i="1"/>
  <c r="CA36" i="1"/>
  <c r="CA37" i="1"/>
  <c r="CA38" i="1"/>
  <c r="J39" i="1" a="1"/>
  <c r="J39" i="1" s="1"/>
  <c r="S3" i="5"/>
  <c r="G4" i="5"/>
  <c r="I39" i="1"/>
  <c r="BQ29" i="1"/>
  <c r="BQ28" i="1"/>
  <c r="BQ27" i="1"/>
  <c r="BQ25" i="1"/>
  <c r="BQ26" i="1"/>
  <c r="BP42" i="1"/>
  <c r="BP41" i="1"/>
  <c r="BP40" i="1"/>
  <c r="BP32" i="1"/>
  <c r="BP33" i="1"/>
  <c r="BP31" i="1"/>
  <c r="F2" i="5" l="1"/>
  <c r="D43" i="11"/>
  <c r="D36" i="12" s="1"/>
  <c r="AK34" i="1" a="1"/>
  <c r="AK34" i="1" s="1"/>
  <c r="J41" i="7"/>
  <c r="AK39" i="1" a="1"/>
  <c r="AK39" i="1" s="1"/>
  <c r="R6" i="5"/>
  <c r="R7" i="5"/>
  <c r="R8" i="5"/>
  <c r="R10" i="5"/>
  <c r="R11" i="5"/>
  <c r="R12" i="5"/>
  <c r="R13" i="5"/>
  <c r="R15" i="5"/>
  <c r="R16" i="5"/>
  <c r="R17" i="5"/>
  <c r="R18" i="5"/>
  <c r="I27" i="1"/>
  <c r="I25" i="1"/>
  <c r="I28" i="1"/>
  <c r="I29" i="1"/>
  <c r="I30" i="1"/>
  <c r="I31" i="1"/>
  <c r="I32" i="1"/>
  <c r="I33" i="1"/>
  <c r="I35" i="1"/>
  <c r="I36" i="1"/>
  <c r="I37" i="1"/>
  <c r="I38" i="1"/>
  <c r="I40" i="1"/>
  <c r="I41" i="1"/>
  <c r="I42" i="1"/>
  <c r="I43" i="1"/>
  <c r="I44" i="1"/>
  <c r="I45" i="1"/>
  <c r="I26" i="1"/>
  <c r="J27" i="1" a="1"/>
  <c r="J27" i="1" s="1"/>
  <c r="J28" i="1" a="1"/>
  <c r="J28" i="1" s="1"/>
  <c r="J29" i="1" a="1"/>
  <c r="J29" i="1" s="1"/>
  <c r="J30" i="1" a="1"/>
  <c r="J30" i="1" s="1"/>
  <c r="J31" i="1" a="1"/>
  <c r="J31" i="1" s="1"/>
  <c r="J32" i="1" a="1"/>
  <c r="J32" i="1" s="1"/>
  <c r="J33" i="1" a="1"/>
  <c r="J33" i="1" s="1"/>
  <c r="J35" i="1" a="1"/>
  <c r="J35" i="1" s="1"/>
  <c r="J36" i="1" a="1"/>
  <c r="J36" i="1" s="1"/>
  <c r="J37" i="1" a="1"/>
  <c r="J37" i="1" s="1"/>
  <c r="J38" i="1" a="1"/>
  <c r="J38" i="1" s="1"/>
  <c r="J40" i="1" a="1"/>
  <c r="J40" i="1" s="1"/>
  <c r="J41" i="1" a="1"/>
  <c r="J41" i="1" s="1"/>
  <c r="J42" i="1" a="1"/>
  <c r="J42" i="1" s="1"/>
  <c r="J43" i="1" a="1"/>
  <c r="J43" i="1" s="1"/>
  <c r="J44" i="1" a="1"/>
  <c r="J44" i="1" s="1"/>
  <c r="J45" i="1" a="1"/>
  <c r="J45" i="1" s="1"/>
  <c r="J26" i="1" a="1"/>
  <c r="J26" i="1" s="1"/>
  <c r="S19" i="5"/>
  <c r="S20" i="5"/>
  <c r="S21" i="5"/>
  <c r="S2" i="5"/>
  <c r="S4" i="5"/>
  <c r="S5" i="5"/>
  <c r="S6" i="5"/>
  <c r="S7" i="5"/>
  <c r="S8" i="5"/>
  <c r="S10" i="5"/>
  <c r="S11" i="5"/>
  <c r="S12" i="5"/>
  <c r="S13" i="5"/>
  <c r="S14" i="5"/>
  <c r="S15" i="5"/>
  <c r="S16" i="5"/>
  <c r="S17" i="5"/>
  <c r="S18" i="5"/>
  <c r="S22" i="5"/>
  <c r="Z17" i="5"/>
  <c r="Z16" i="5"/>
  <c r="Z15" i="5"/>
  <c r="Z14" i="5"/>
  <c r="Z8" i="5"/>
  <c r="Z7" i="5"/>
  <c r="Z6" i="5"/>
  <c r="BM29" i="1" l="1"/>
  <c r="BM28" i="1"/>
  <c r="Z18" i="5"/>
  <c r="K29" i="1" a="1"/>
  <c r="K29" i="1" s="1"/>
  <c r="K37" i="1" a="1"/>
  <c r="K37" i="1" s="1"/>
  <c r="K45" i="1" a="1"/>
  <c r="K45" i="1" s="1"/>
  <c r="K30" i="1" a="1"/>
  <c r="K30" i="1" s="1"/>
  <c r="K25" i="1" a="1"/>
  <c r="K25" i="1" s="1"/>
  <c r="K38" i="1" a="1"/>
  <c r="K38" i="1" s="1"/>
  <c r="K31" i="1" a="1"/>
  <c r="K31" i="1" s="1"/>
  <c r="K39" i="1" a="1"/>
  <c r="K39" i="1" s="1"/>
  <c r="K44" i="1" a="1"/>
  <c r="K44" i="1" s="1"/>
  <c r="K32" i="1" a="1"/>
  <c r="K32" i="1" s="1"/>
  <c r="K40" i="1" a="1"/>
  <c r="K40" i="1" s="1"/>
  <c r="K34" i="1" a="1"/>
  <c r="K34" i="1" s="1"/>
  <c r="K42" i="1" a="1"/>
  <c r="K42" i="1" s="1"/>
  <c r="K33" i="1" a="1"/>
  <c r="K33" i="1" s="1"/>
  <c r="K41" i="1" a="1"/>
  <c r="K41" i="1" s="1"/>
  <c r="K26" i="1" a="1"/>
  <c r="K26" i="1" s="1"/>
  <c r="K28" i="1" a="1"/>
  <c r="K28" i="1" s="1"/>
  <c r="K36" i="1" a="1"/>
  <c r="K36" i="1" s="1"/>
  <c r="K27" i="1" a="1"/>
  <c r="K27" i="1" s="1"/>
  <c r="K35" i="1" a="1"/>
  <c r="K35" i="1" s="1"/>
  <c r="K43" i="1" a="1"/>
  <c r="K43" i="1" s="1"/>
  <c r="J20" i="10"/>
  <c r="D20" i="10" s="1"/>
  <c r="J19" i="10"/>
  <c r="F19" i="10" s="1"/>
  <c r="J36" i="10"/>
  <c r="G36" i="10" s="1"/>
  <c r="J27" i="10"/>
  <c r="D27" i="10" s="1"/>
  <c r="J26" i="10"/>
  <c r="F26" i="10" s="1"/>
  <c r="J25" i="10"/>
  <c r="F25" i="10" s="1"/>
  <c r="J24" i="10"/>
  <c r="F24" i="10" s="1"/>
  <c r="B15" i="19"/>
  <c r="B16" i="19"/>
  <c r="D62" i="8"/>
  <c r="C65" i="10" s="1"/>
  <c r="D61" i="8"/>
  <c r="C64" i="10" s="1"/>
  <c r="AL25" i="1" a="1"/>
  <c r="AL25" i="1" s="1"/>
  <c r="M23" i="6"/>
  <c r="F52" i="7"/>
  <c r="I5" i="5" s="1"/>
  <c r="M2" i="5"/>
  <c r="I52" i="7"/>
  <c r="G52" i="7"/>
  <c r="G19" i="7"/>
  <c r="I19" i="7"/>
  <c r="M24" i="6"/>
  <c r="M22" i="6"/>
  <c r="M12" i="6"/>
  <c r="M30" i="6"/>
  <c r="M18" i="6"/>
  <c r="M6" i="6"/>
  <c r="F4" i="5"/>
  <c r="M4" i="5" s="1"/>
  <c r="M29" i="6"/>
  <c r="M17" i="6"/>
  <c r="M8" i="6"/>
  <c r="M28" i="6"/>
  <c r="M14" i="6"/>
  <c r="M13" i="6"/>
  <c r="M26" i="6"/>
  <c r="M20" i="6"/>
  <c r="M10" i="6"/>
  <c r="M7" i="6"/>
  <c r="M9" i="6"/>
  <c r="M19" i="6"/>
  <c r="D44" i="11"/>
  <c r="D37" i="12" s="1"/>
  <c r="AL34" i="1" a="1"/>
  <c r="AL34" i="1" s="1"/>
  <c r="AR34" i="1" a="1"/>
  <c r="AR34" i="1" s="1"/>
  <c r="L4" i="1"/>
  <c r="T50" i="13" s="1"/>
  <c r="L5" i="1"/>
  <c r="C15" i="1" a="1"/>
  <c r="C15" i="1" s="1"/>
  <c r="G15" i="1" a="1"/>
  <c r="G15" i="1" s="1"/>
  <c r="D15" i="1" a="1"/>
  <c r="D15" i="1" s="1"/>
  <c r="H15" i="1" a="1"/>
  <c r="H15" i="1" s="1"/>
  <c r="E15" i="1" a="1"/>
  <c r="E15" i="1" s="1"/>
  <c r="F15" i="1" a="1"/>
  <c r="F15" i="1" s="1"/>
  <c r="E43" i="11"/>
  <c r="E36" i="12" s="1"/>
  <c r="AR39" i="1" a="1"/>
  <c r="AR39" i="1" s="1"/>
  <c r="E41" i="7"/>
  <c r="F41" i="7"/>
  <c r="I4" i="5" s="1"/>
  <c r="AL39" i="1" a="1"/>
  <c r="AL39" i="1" s="1"/>
  <c r="AL42" i="1" a="1"/>
  <c r="AL42" i="1" s="1"/>
  <c r="AR42" i="1" a="1"/>
  <c r="AR42" i="1" s="1"/>
  <c r="AL33" i="1" a="1"/>
  <c r="AL33" i="1" s="1"/>
  <c r="AR33" i="1" a="1"/>
  <c r="AR33" i="1" s="1"/>
  <c r="AL41" i="1" a="1"/>
  <c r="AL41" i="1" s="1"/>
  <c r="AR41" i="1" a="1"/>
  <c r="AR41" i="1" s="1"/>
  <c r="AL32" i="1" a="1"/>
  <c r="AL32" i="1" s="1"/>
  <c r="AR32" i="1" a="1"/>
  <c r="AR32" i="1" s="1"/>
  <c r="AL40" i="1" a="1"/>
  <c r="AL40" i="1" s="1"/>
  <c r="AR40" i="1" a="1"/>
  <c r="AR40" i="1" s="1"/>
  <c r="AL31" i="1" a="1"/>
  <c r="AL31" i="1" s="1"/>
  <c r="AR31" i="1" a="1"/>
  <c r="AR31" i="1" s="1"/>
  <c r="AL38" i="1" a="1"/>
  <c r="AL38" i="1" s="1"/>
  <c r="AR38" i="1" a="1"/>
  <c r="AR38" i="1" s="1"/>
  <c r="AL30" i="1" a="1"/>
  <c r="AL30" i="1" s="1"/>
  <c r="AR30" i="1" a="1"/>
  <c r="AR30" i="1" s="1"/>
  <c r="AL26" i="1" a="1"/>
  <c r="AL26" i="1" s="1"/>
  <c r="AR26" i="1" a="1"/>
  <c r="AR26" i="1" s="1"/>
  <c r="AL37" i="1" a="1"/>
  <c r="AL37" i="1" s="1"/>
  <c r="AR37" i="1" a="1"/>
  <c r="AR37" i="1" s="1"/>
  <c r="AL29" i="1" a="1"/>
  <c r="AL29" i="1" s="1"/>
  <c r="AR29" i="1" a="1"/>
  <c r="AR29" i="1" s="1"/>
  <c r="AL45" i="1" a="1"/>
  <c r="AL45" i="1" s="1"/>
  <c r="AR45" i="1" a="1"/>
  <c r="AR45" i="1" s="1"/>
  <c r="AL36" i="1" a="1"/>
  <c r="AL36" i="1" s="1"/>
  <c r="AR36" i="1" a="1"/>
  <c r="AR36" i="1" s="1"/>
  <c r="AL28" i="1" a="1"/>
  <c r="AL28" i="1" s="1"/>
  <c r="AR28" i="1" a="1"/>
  <c r="AR28" i="1" s="1"/>
  <c r="AL44" i="1" a="1"/>
  <c r="AL44" i="1" s="1"/>
  <c r="AR44" i="1" a="1"/>
  <c r="AR44" i="1" s="1"/>
  <c r="AL35" i="1" a="1"/>
  <c r="AL35" i="1" s="1"/>
  <c r="AR35" i="1" a="1"/>
  <c r="AR35" i="1" s="1"/>
  <c r="AR25" i="1" a="1"/>
  <c r="AR25" i="1" s="1"/>
  <c r="AL43" i="1" a="1"/>
  <c r="AL43" i="1" s="1"/>
  <c r="AR43" i="1" a="1"/>
  <c r="AR43" i="1" s="1"/>
  <c r="AL27" i="1" a="1"/>
  <c r="AL27" i="1" s="1"/>
  <c r="AR27" i="1" a="1"/>
  <c r="AR27" i="1" s="1"/>
  <c r="AK26" i="1" a="1"/>
  <c r="AK26" i="1" s="1"/>
  <c r="AK37" i="1" a="1"/>
  <c r="AK37" i="1" s="1"/>
  <c r="AK29" i="1" a="1"/>
  <c r="AK29" i="1" s="1"/>
  <c r="AK38" i="1" a="1"/>
  <c r="AK38" i="1" s="1"/>
  <c r="AK36" i="1" a="1"/>
  <c r="AK36" i="1" s="1"/>
  <c r="AK28" i="1" a="1"/>
  <c r="AK28" i="1" s="1"/>
  <c r="AK35" i="1" a="1"/>
  <c r="AK35" i="1" s="1"/>
  <c r="AK25" i="1" a="1"/>
  <c r="AK25" i="1" s="1"/>
  <c r="AK42" i="1" a="1"/>
  <c r="AK42" i="1" s="1"/>
  <c r="AK33" i="1" a="1"/>
  <c r="AK33" i="1" s="1"/>
  <c r="AK41" i="1" a="1"/>
  <c r="AK41" i="1" s="1"/>
  <c r="AK32" i="1" a="1"/>
  <c r="AK32" i="1" s="1"/>
  <c r="AK40" i="1" a="1"/>
  <c r="AK40" i="1" s="1"/>
  <c r="AK31" i="1" a="1"/>
  <c r="AK31" i="1" s="1"/>
  <c r="AK30" i="1" a="1"/>
  <c r="AK30" i="1" s="1"/>
  <c r="AK27" i="1" a="1"/>
  <c r="AK27" i="1" s="1"/>
  <c r="G5" i="5" l="1"/>
  <c r="H51" i="7"/>
  <c r="H40" i="7"/>
  <c r="G2" i="5"/>
  <c r="H17" i="7"/>
  <c r="E20" i="1" a="1"/>
  <c r="E20" i="1" s="1"/>
  <c r="E41" i="6" s="1"/>
  <c r="G20" i="1" a="1"/>
  <c r="G20" i="1" s="1"/>
  <c r="G41" i="6" s="1"/>
  <c r="F20" i="1" a="1"/>
  <c r="F20" i="1" s="1"/>
  <c r="F41" i="6" s="1"/>
  <c r="C20" i="1" a="1"/>
  <c r="C20" i="1" s="1"/>
  <c r="C19" i="1" s="1"/>
  <c r="D20" i="1" a="1"/>
  <c r="D20" i="1" s="1"/>
  <c r="D41" i="6" s="1"/>
  <c r="H20" i="1" a="1"/>
  <c r="H20" i="1" s="1"/>
  <c r="H41" i="6" s="1"/>
  <c r="AA9" i="5"/>
  <c r="AF9" i="5"/>
  <c r="H16" i="1"/>
  <c r="G16" i="1"/>
  <c r="F16" i="1"/>
  <c r="E16" i="1"/>
  <c r="D16" i="1"/>
  <c r="C35" i="6"/>
  <c r="F20" i="10"/>
  <c r="G20" i="10"/>
  <c r="E20" i="10"/>
  <c r="G27" i="10"/>
  <c r="E27" i="10"/>
  <c r="F27" i="10"/>
  <c r="F31" i="10" s="1"/>
  <c r="E19" i="10"/>
  <c r="D19" i="10"/>
  <c r="G19" i="10"/>
  <c r="D26" i="10"/>
  <c r="G26" i="10"/>
  <c r="E26" i="10"/>
  <c r="D36" i="10"/>
  <c r="E36" i="10"/>
  <c r="F36" i="10"/>
  <c r="E25" i="10"/>
  <c r="D25" i="10"/>
  <c r="AR47" i="1"/>
  <c r="G25" i="10"/>
  <c r="D24" i="10"/>
  <c r="E24" i="10"/>
  <c r="G24" i="10"/>
  <c r="E64" i="10"/>
  <c r="G64" i="10"/>
  <c r="F64" i="10"/>
  <c r="D64" i="10"/>
  <c r="D65" i="10"/>
  <c r="F65" i="10"/>
  <c r="G65" i="10"/>
  <c r="E65" i="10"/>
  <c r="C42" i="10"/>
  <c r="J42" i="10" s="1"/>
  <c r="C41" i="10"/>
  <c r="J41" i="10" s="1"/>
  <c r="C40" i="10"/>
  <c r="B18" i="19"/>
  <c r="AF34" i="1" a="1"/>
  <c r="AF34" i="1" s="1"/>
  <c r="AJ39" i="1" a="1"/>
  <c r="AJ39" i="1" s="1"/>
  <c r="D63" i="8"/>
  <c r="N53" i="12"/>
  <c r="AG34" i="1" a="1"/>
  <c r="AG34" i="1" s="1"/>
  <c r="H45" i="11"/>
  <c r="H31" i="8" s="1"/>
  <c r="M35" i="6"/>
  <c r="H4" i="5"/>
  <c r="AI37" i="1" s="1" a="1"/>
  <c r="AI37" i="1" s="1"/>
  <c r="AJ31" i="1" a="1"/>
  <c r="AJ31" i="1" s="1"/>
  <c r="AJ40" i="1" a="1"/>
  <c r="AJ40" i="1" s="1"/>
  <c r="AJ41" i="1" a="1"/>
  <c r="AJ41" i="1" s="1"/>
  <c r="AJ30" i="1" a="1"/>
  <c r="AJ30" i="1" s="1"/>
  <c r="E59" i="11"/>
  <c r="AJ42" i="1" a="1"/>
  <c r="AJ42" i="1" s="1"/>
  <c r="R24" i="6" s="1"/>
  <c r="AJ25" i="1" a="1"/>
  <c r="AJ25" i="1" s="1"/>
  <c r="AJ32" i="1" a="1"/>
  <c r="AJ32" i="1" s="1"/>
  <c r="AJ37" i="1" a="1"/>
  <c r="AJ37" i="1" s="1"/>
  <c r="AJ34" i="1" a="1"/>
  <c r="AJ34" i="1" s="1"/>
  <c r="AJ36" i="1" a="1"/>
  <c r="AJ36" i="1" s="1"/>
  <c r="AJ28" i="1" a="1"/>
  <c r="AJ28" i="1" s="1"/>
  <c r="AJ27" i="1" a="1"/>
  <c r="AJ27" i="1" s="1"/>
  <c r="AJ38" i="1" a="1"/>
  <c r="AJ38" i="1" s="1"/>
  <c r="AJ29" i="1" a="1"/>
  <c r="AJ29" i="1" s="1"/>
  <c r="AJ33" i="1" a="1"/>
  <c r="AJ33" i="1" s="1"/>
  <c r="AJ35" i="1" a="1"/>
  <c r="AJ35" i="1" s="1"/>
  <c r="AJ26" i="1" a="1"/>
  <c r="AJ26" i="1" s="1"/>
  <c r="I15" i="1"/>
  <c r="C16" i="1"/>
  <c r="H16" i="8"/>
  <c r="E44" i="11"/>
  <c r="E37" i="12" s="1"/>
  <c r="E39" i="11"/>
  <c r="E38" i="11"/>
  <c r="E37" i="11"/>
  <c r="F35" i="6"/>
  <c r="G35" i="6"/>
  <c r="D35" i="6"/>
  <c r="H35" i="6"/>
  <c r="E35" i="6"/>
  <c r="AL47" i="1"/>
  <c r="AK47" i="1"/>
  <c r="C36" i="10" s="1"/>
  <c r="H19" i="7" l="1"/>
  <c r="E2" i="5" s="1"/>
  <c r="AH34" i="1" a="1"/>
  <c r="AH34" i="1" s="1"/>
  <c r="O15" i="6" s="1"/>
  <c r="F19" i="1"/>
  <c r="F21" i="1" s="1"/>
  <c r="E19" i="1"/>
  <c r="E21" i="1" s="1"/>
  <c r="G19" i="1"/>
  <c r="G21" i="1" s="1"/>
  <c r="AG9" i="5"/>
  <c r="AI9" i="5"/>
  <c r="AJ9" i="5" s="1"/>
  <c r="C41" i="6"/>
  <c r="I41" i="6" s="1"/>
  <c r="I20" i="1"/>
  <c r="D19" i="1"/>
  <c r="D21" i="1" s="1"/>
  <c r="H19" i="1"/>
  <c r="H21" i="1" s="1"/>
  <c r="C36" i="6"/>
  <c r="C37" i="6" s="1"/>
  <c r="H36" i="6"/>
  <c r="H37" i="6" s="1"/>
  <c r="H40" i="6"/>
  <c r="H42" i="6" s="1"/>
  <c r="G36" i="6"/>
  <c r="G37" i="6" s="1"/>
  <c r="G40" i="6"/>
  <c r="G42" i="6" s="1"/>
  <c r="F36" i="6"/>
  <c r="F37" i="6" s="1"/>
  <c r="F40" i="6"/>
  <c r="F42" i="6" s="1"/>
  <c r="E36" i="6"/>
  <c r="E37" i="6" s="1"/>
  <c r="E40" i="6"/>
  <c r="E42" i="6" s="1"/>
  <c r="I16" i="1"/>
  <c r="D36" i="6"/>
  <c r="D37" i="6" s="1"/>
  <c r="D40" i="6"/>
  <c r="D42" i="6" s="1"/>
  <c r="C21" i="1"/>
  <c r="H20" i="10"/>
  <c r="H36" i="10"/>
  <c r="AI31" i="1" a="1"/>
  <c r="AI31" i="1" s="1"/>
  <c r="H19" i="10"/>
  <c r="H27" i="10"/>
  <c r="H26" i="10"/>
  <c r="H52" i="7"/>
  <c r="C10" i="8"/>
  <c r="D10" i="8" s="1"/>
  <c r="E31" i="10"/>
  <c r="D31" i="10"/>
  <c r="H25" i="10"/>
  <c r="G31" i="10"/>
  <c r="H24" i="10"/>
  <c r="AI29" i="1" a="1"/>
  <c r="AI29" i="1" s="1"/>
  <c r="J40" i="10"/>
  <c r="G40" i="10" s="1"/>
  <c r="C43" i="10"/>
  <c r="G35" i="10"/>
  <c r="G37" i="10" s="1"/>
  <c r="E35" i="10"/>
  <c r="E37" i="10" s="1"/>
  <c r="D35" i="10"/>
  <c r="D37" i="10" s="1"/>
  <c r="F35" i="10"/>
  <c r="F37" i="10" s="1"/>
  <c r="D42" i="10"/>
  <c r="F42" i="10"/>
  <c r="E42" i="10"/>
  <c r="G42" i="10"/>
  <c r="D41" i="10"/>
  <c r="E41" i="10"/>
  <c r="F41" i="10"/>
  <c r="G41" i="10"/>
  <c r="H41" i="7"/>
  <c r="AI30" i="1" a="1"/>
  <c r="AI30" i="1" s="1"/>
  <c r="AI26" i="1" a="1"/>
  <c r="AI26" i="1" s="1"/>
  <c r="AI41" i="1" a="1"/>
  <c r="AI41" i="1" s="1"/>
  <c r="AI32" i="1" a="1"/>
  <c r="AI32" i="1" s="1"/>
  <c r="AI28" i="1" a="1"/>
  <c r="AI28" i="1" s="1"/>
  <c r="AI39" i="1" a="1"/>
  <c r="AI39" i="1" s="1"/>
  <c r="AI34" i="1" a="1"/>
  <c r="AI34" i="1" s="1"/>
  <c r="AI27" i="1" a="1"/>
  <c r="AI27" i="1" s="1"/>
  <c r="AI40" i="1" a="1"/>
  <c r="AI40" i="1" s="1"/>
  <c r="AI38" i="1" a="1"/>
  <c r="AI38" i="1" s="1"/>
  <c r="AI42" i="1" a="1"/>
  <c r="AI42" i="1" s="1"/>
  <c r="AI35" i="1" a="1"/>
  <c r="AI35" i="1" s="1"/>
  <c r="AI25" i="1" a="1"/>
  <c r="AI25" i="1" s="1"/>
  <c r="AI36" i="1" a="1"/>
  <c r="AI36" i="1" s="1"/>
  <c r="AI33" i="1" a="1"/>
  <c r="AI33" i="1" s="1"/>
  <c r="R22" i="6"/>
  <c r="E34" i="11"/>
  <c r="E34" i="12" s="1"/>
  <c r="R23" i="6"/>
  <c r="E35" i="11"/>
  <c r="E35" i="13" s="1"/>
  <c r="AJ47" i="1"/>
  <c r="G34" i="8"/>
  <c r="B20" i="19" s="1"/>
  <c r="E39" i="12"/>
  <c r="E37" i="13"/>
  <c r="G36" i="8"/>
  <c r="B22" i="19" s="1"/>
  <c r="E39" i="13"/>
  <c r="E41" i="12"/>
  <c r="G35" i="8"/>
  <c r="B21" i="19" s="1"/>
  <c r="E38" i="13"/>
  <c r="E40" i="12"/>
  <c r="I35" i="6"/>
  <c r="K41" i="7" l="1"/>
  <c r="E26" i="11"/>
  <c r="C22" i="14" s="1"/>
  <c r="C9" i="8"/>
  <c r="D9" i="8" s="1"/>
  <c r="I19" i="1"/>
  <c r="C40" i="6"/>
  <c r="C42" i="6" s="1"/>
  <c r="I42" i="6" s="1"/>
  <c r="I21" i="1"/>
  <c r="I36" i="6"/>
  <c r="I37" i="6" s="1"/>
  <c r="H31" i="10"/>
  <c r="D40" i="10"/>
  <c r="G43" i="10"/>
  <c r="F40" i="10"/>
  <c r="E40" i="10"/>
  <c r="H35" i="10"/>
  <c r="H37" i="10" s="1"/>
  <c r="H41" i="10"/>
  <c r="H42" i="10"/>
  <c r="Q24" i="6"/>
  <c r="Q23" i="6"/>
  <c r="Q22" i="6"/>
  <c r="H35" i="8"/>
  <c r="H36" i="8"/>
  <c r="E33" i="11"/>
  <c r="E33" i="12" s="1"/>
  <c r="C34" i="10"/>
  <c r="AI47" i="1"/>
  <c r="C35" i="10"/>
  <c r="R35" i="6"/>
  <c r="H34" i="8"/>
  <c r="E34" i="13"/>
  <c r="E35" i="12"/>
  <c r="G37" i="8"/>
  <c r="H37" i="8" s="1"/>
  <c r="B19" i="19" s="1"/>
  <c r="D43" i="10" l="1"/>
  <c r="E43" i="10"/>
  <c r="F43" i="10"/>
  <c r="C38" i="8"/>
  <c r="I40" i="6"/>
  <c r="C37" i="10"/>
  <c r="H40" i="10"/>
  <c r="H43" i="10" s="1"/>
  <c r="Q35" i="6"/>
  <c r="E33" i="13"/>
  <c r="K20" i="5"/>
  <c r="K22" i="5"/>
  <c r="K21" i="5"/>
  <c r="K3" i="5"/>
  <c r="K14" i="5" l="1"/>
  <c r="K13" i="5"/>
  <c r="Z13" i="5" s="1"/>
  <c r="K15" i="5"/>
  <c r="K17" i="5"/>
  <c r="AF17" i="5" s="1"/>
  <c r="K11" i="5"/>
  <c r="Z11" i="5" s="1"/>
  <c r="K12" i="5"/>
  <c r="Z12" i="5" s="1"/>
  <c r="K10" i="5"/>
  <c r="K6" i="5"/>
  <c r="U6" i="5" s="1"/>
  <c r="K8" i="5"/>
  <c r="AC8" i="5" s="1"/>
  <c r="K7" i="5"/>
  <c r="K18" i="5"/>
  <c r="AC18" i="5" s="1"/>
  <c r="AA18" i="5" s="1"/>
  <c r="AB17" i="5"/>
  <c r="AC12" i="5"/>
  <c r="AA12" i="5" s="1"/>
  <c r="AC20" i="5"/>
  <c r="AC21" i="5"/>
  <c r="AA21" i="5" s="1"/>
  <c r="AC22" i="5"/>
  <c r="AC11" i="5"/>
  <c r="AC14" i="5"/>
  <c r="AA14" i="5" s="1"/>
  <c r="AC13" i="5"/>
  <c r="AA13" i="5" s="1"/>
  <c r="AC15" i="5"/>
  <c r="AC7" i="5"/>
  <c r="AA7" i="5" s="1"/>
  <c r="AC3" i="5"/>
  <c r="AA3" i="5" s="1"/>
  <c r="K19" i="5"/>
  <c r="K16" i="5"/>
  <c r="K2" i="5"/>
  <c r="AA11" i="5"/>
  <c r="AA22" i="5"/>
  <c r="AA15" i="5"/>
  <c r="AN36" i="1" l="1" a="1"/>
  <c r="AN36" i="1" s="1"/>
  <c r="AC6" i="5"/>
  <c r="AA6" i="5" s="1"/>
  <c r="AC17" i="5"/>
  <c r="AA17" i="5" s="1"/>
  <c r="AN43" i="1" a="1"/>
  <c r="AN43" i="1" s="1"/>
  <c r="AN31" i="1" a="1"/>
  <c r="AN31" i="1" s="1"/>
  <c r="AN38" i="1" a="1"/>
  <c r="AN38" i="1" s="1"/>
  <c r="AN33" i="1" a="1"/>
  <c r="AN33" i="1" s="1"/>
  <c r="AN44" i="1" a="1"/>
  <c r="AN44" i="1" s="1"/>
  <c r="AF8" i="5"/>
  <c r="AI8" i="5" s="1"/>
  <c r="AJ8" i="5" s="1"/>
  <c r="AN35" i="1" a="1"/>
  <c r="AN35" i="1" s="1"/>
  <c r="AN41" i="1" a="1"/>
  <c r="AN41" i="1" s="1"/>
  <c r="AN39" i="1" a="1"/>
  <c r="AN39" i="1" s="1"/>
  <c r="AF10" i="5"/>
  <c r="AF7" i="5"/>
  <c r="AN45" i="1" a="1"/>
  <c r="AN45" i="1" s="1"/>
  <c r="AN26" i="1" a="1"/>
  <c r="AN26" i="1" s="1"/>
  <c r="Z10" i="5"/>
  <c r="AF15" i="5"/>
  <c r="AN28" i="1" a="1"/>
  <c r="AN28" i="1" s="1"/>
  <c r="AN25" i="1" a="1"/>
  <c r="AN25" i="1" s="1"/>
  <c r="AF12" i="5"/>
  <c r="AF13" i="5"/>
  <c r="AA20" i="5"/>
  <c r="AC10" i="5"/>
  <c r="AA10" i="5" s="1"/>
  <c r="AN37" i="1" a="1"/>
  <c r="AN37" i="1" s="1"/>
  <c r="AN30" i="1" a="1"/>
  <c r="AN30" i="1" s="1"/>
  <c r="AN40" i="1" a="1"/>
  <c r="AN40" i="1" s="1"/>
  <c r="AN27" i="1" a="1"/>
  <c r="AN27" i="1" s="1"/>
  <c r="AN42" i="1" a="1"/>
  <c r="AN42" i="1" s="1"/>
  <c r="AF6" i="5"/>
  <c r="AF11" i="5"/>
  <c r="AF14" i="5"/>
  <c r="AF18" i="5"/>
  <c r="AF16" i="5"/>
  <c r="AI17" i="5"/>
  <c r="AJ17" i="5" s="1"/>
  <c r="AG17" i="5"/>
  <c r="AA8" i="5"/>
  <c r="AN32" i="1" a="1"/>
  <c r="AN32" i="1" s="1"/>
  <c r="AN29" i="1" a="1"/>
  <c r="AN29" i="1" s="1"/>
  <c r="AO34" i="1" a="1"/>
  <c r="AO34" i="1" s="1"/>
  <c r="AO39" i="1" a="1"/>
  <c r="AO39" i="1" s="1"/>
  <c r="AO37" i="1" a="1"/>
  <c r="AO37" i="1" s="1"/>
  <c r="AO33" i="1" a="1"/>
  <c r="AO33" i="1" s="1"/>
  <c r="AO41" i="1" a="1"/>
  <c r="AO41" i="1" s="1"/>
  <c r="AO25" i="1" a="1"/>
  <c r="AO25" i="1" s="1"/>
  <c r="AO28" i="1" a="1"/>
  <c r="AO28" i="1" s="1"/>
  <c r="AO26" i="1" a="1"/>
  <c r="AO26" i="1" s="1"/>
  <c r="AO44" i="1" a="1"/>
  <c r="AO44" i="1" s="1"/>
  <c r="AO45" i="1" a="1"/>
  <c r="AO45" i="1" s="1"/>
  <c r="AO42" i="1" a="1"/>
  <c r="AO42" i="1" s="1"/>
  <c r="AO31" i="1" a="1"/>
  <c r="AO31" i="1" s="1"/>
  <c r="AO30" i="1" a="1"/>
  <c r="AO30" i="1" s="1"/>
  <c r="AO43" i="1" a="1"/>
  <c r="AO43" i="1" s="1"/>
  <c r="AO38" i="1" a="1"/>
  <c r="AO38" i="1" s="1"/>
  <c r="AO29" i="1" a="1"/>
  <c r="AO29" i="1" s="1"/>
  <c r="AO27" i="1" a="1"/>
  <c r="AO27" i="1" s="1"/>
  <c r="AO32" i="1" a="1"/>
  <c r="AO32" i="1" s="1"/>
  <c r="AO35" i="1" a="1"/>
  <c r="AO35" i="1" s="1"/>
  <c r="AO36" i="1" a="1"/>
  <c r="AO36" i="1" s="1"/>
  <c r="AO40" i="1" a="1"/>
  <c r="AO40" i="1" s="1"/>
  <c r="AB14" i="5"/>
  <c r="AB18" i="5"/>
  <c r="AB16" i="5"/>
  <c r="AB15" i="5"/>
  <c r="L34" i="1" a="1"/>
  <c r="L34" i="1" s="1"/>
  <c r="AC16" i="5"/>
  <c r="AA16" i="5" s="1"/>
  <c r="AC19" i="5"/>
  <c r="AA19" i="5" s="1"/>
  <c r="AC2" i="5"/>
  <c r="AA2" i="5" s="1"/>
  <c r="L39" i="1" a="1"/>
  <c r="L39" i="1" s="1"/>
  <c r="T12" i="5"/>
  <c r="T10" i="5"/>
  <c r="T8" i="5"/>
  <c r="T22" i="5"/>
  <c r="T3" i="5"/>
  <c r="L42" i="1" a="1"/>
  <c r="L42" i="1" s="1"/>
  <c r="L33" i="1" a="1"/>
  <c r="L33" i="1" s="1"/>
  <c r="L27" i="1" a="1"/>
  <c r="L27" i="1" s="1"/>
  <c r="L40" i="1" a="1"/>
  <c r="L40" i="1" s="1"/>
  <c r="L26" i="1" a="1"/>
  <c r="L26" i="1" s="1"/>
  <c r="L31" i="1" a="1"/>
  <c r="L31" i="1" s="1"/>
  <c r="L38" i="1" a="1"/>
  <c r="L38" i="1" s="1"/>
  <c r="L36" i="1" a="1"/>
  <c r="L36" i="1" s="1"/>
  <c r="L41" i="1" a="1"/>
  <c r="L41" i="1" s="1"/>
  <c r="L43" i="1" a="1"/>
  <c r="L43" i="1" s="1"/>
  <c r="L37" i="1" a="1"/>
  <c r="L37" i="1" s="1"/>
  <c r="L25" i="1" a="1"/>
  <c r="L25" i="1" s="1"/>
  <c r="L29" i="1" a="1"/>
  <c r="L29" i="1" s="1"/>
  <c r="L35" i="1" a="1"/>
  <c r="L35" i="1" s="1"/>
  <c r="L45" i="1" a="1"/>
  <c r="L45" i="1" s="1"/>
  <c r="L32" i="1" a="1"/>
  <c r="L32" i="1" s="1"/>
  <c r="L44" i="1" a="1"/>
  <c r="L44" i="1" s="1"/>
  <c r="L28" i="1" a="1"/>
  <c r="L28" i="1" s="1"/>
  <c r="L30" i="1" a="1"/>
  <c r="L30" i="1" s="1"/>
  <c r="S30" i="1" s="1"/>
  <c r="U30" i="1" s="1"/>
  <c r="T15" i="5"/>
  <c r="T21" i="5"/>
  <c r="T7" i="5"/>
  <c r="T18" i="5"/>
  <c r="T13" i="5"/>
  <c r="T20" i="5"/>
  <c r="T6" i="5"/>
  <c r="T14" i="5"/>
  <c r="T11" i="5"/>
  <c r="AN34" i="1" l="1" a="1"/>
  <c r="AN34" i="1" s="1"/>
  <c r="AN47" i="1" s="1"/>
  <c r="AG8" i="5"/>
  <c r="AI16" i="5"/>
  <c r="AJ16" i="5" s="1"/>
  <c r="AG16" i="5"/>
  <c r="AG10" i="5"/>
  <c r="AI10" i="5"/>
  <c r="AJ10" i="5" s="1"/>
  <c r="AI12" i="5"/>
  <c r="AJ12" i="5" s="1"/>
  <c r="AG12" i="5"/>
  <c r="AG18" i="5"/>
  <c r="AI18" i="5"/>
  <c r="AJ18" i="5" s="1"/>
  <c r="AI15" i="5"/>
  <c r="AJ15" i="5" s="1"/>
  <c r="AG15" i="5"/>
  <c r="AG14" i="5"/>
  <c r="AI14" i="5"/>
  <c r="AJ14" i="5" s="1"/>
  <c r="AG11" i="5"/>
  <c r="AI11" i="5"/>
  <c r="AJ11" i="5" s="1"/>
  <c r="AI7" i="5"/>
  <c r="AJ7" i="5" s="1"/>
  <c r="AG7" i="5"/>
  <c r="AG6" i="5"/>
  <c r="AI6" i="5"/>
  <c r="AJ6" i="5" s="1"/>
  <c r="AG13" i="5"/>
  <c r="AI13" i="5"/>
  <c r="AJ13" i="5" s="1"/>
  <c r="AO47" i="1"/>
  <c r="S39" i="1"/>
  <c r="U39" i="1" s="1"/>
  <c r="W45" i="1"/>
  <c r="V45" i="1"/>
  <c r="W44" i="1"/>
  <c r="V44" i="1"/>
  <c r="W43" i="1"/>
  <c r="V43" i="1"/>
  <c r="BZ43" i="1"/>
  <c r="M39" i="12" s="1"/>
  <c r="N39" i="12" s="1"/>
  <c r="BU43" i="1"/>
  <c r="BZ44" i="1"/>
  <c r="M40" i="12" s="1"/>
  <c r="N40" i="12" s="1"/>
  <c r="BU44" i="1"/>
  <c r="BZ45" i="1"/>
  <c r="M41" i="12" s="1"/>
  <c r="N41" i="12" s="1"/>
  <c r="BU45" i="1"/>
  <c r="H39" i="11"/>
  <c r="H38" i="11"/>
  <c r="H37" i="11"/>
  <c r="T19" i="5"/>
  <c r="T2" i="5"/>
  <c r="T16" i="5"/>
  <c r="AH39" i="1" a="1"/>
  <c r="AH39" i="1" s="1"/>
  <c r="AH27" i="1" a="1"/>
  <c r="AH27" i="1" s="1"/>
  <c r="AH31" i="1" a="1"/>
  <c r="AH31" i="1" s="1"/>
  <c r="AH35" i="1" a="1"/>
  <c r="AH35" i="1" s="1"/>
  <c r="O17" i="6" s="1"/>
  <c r="AH42" i="1" a="1"/>
  <c r="AH42" i="1" s="1"/>
  <c r="O24" i="6" s="1"/>
  <c r="AH41" i="1" a="1"/>
  <c r="AH41" i="1" s="1"/>
  <c r="AH26" i="1" a="1"/>
  <c r="AH26" i="1" s="1"/>
  <c r="AH33" i="1" a="1"/>
  <c r="AH33" i="1" s="1"/>
  <c r="AH37" i="1" a="1"/>
  <c r="AH37" i="1" s="1"/>
  <c r="O19" i="6" s="1"/>
  <c r="AH28" i="1" a="1"/>
  <c r="AH28" i="1" s="1"/>
  <c r="AH29" i="1" a="1"/>
  <c r="AH29" i="1" s="1"/>
  <c r="O10" i="6" s="1"/>
  <c r="AH36" i="1" a="1"/>
  <c r="AH36" i="1" s="1"/>
  <c r="O18" i="6" s="1"/>
  <c r="AH38" i="1" a="1"/>
  <c r="AH38" i="1" s="1"/>
  <c r="O20" i="6" s="1"/>
  <c r="AH25" i="1" a="1"/>
  <c r="AH25" i="1" s="1"/>
  <c r="AH40" i="1" a="1"/>
  <c r="AH40" i="1" s="1"/>
  <c r="AH32" i="1" a="1"/>
  <c r="AH32" i="1" s="1"/>
  <c r="AH30" i="1" a="1"/>
  <c r="AH30" i="1" s="1"/>
  <c r="T17" i="5"/>
  <c r="L47" i="1"/>
  <c r="H62" i="8" l="1"/>
  <c r="H61" i="8"/>
  <c r="AP34" i="1" a="1"/>
  <c r="AP34" i="1" s="1"/>
  <c r="AP42" i="1" a="1"/>
  <c r="AP42" i="1" s="1"/>
  <c r="AP38" i="1" a="1"/>
  <c r="AP38" i="1" s="1"/>
  <c r="AP43" i="1" a="1"/>
  <c r="AP43" i="1" s="1"/>
  <c r="AP39" i="1" a="1"/>
  <c r="AP39" i="1" s="1"/>
  <c r="AP31" i="1" a="1"/>
  <c r="AP31" i="1" s="1"/>
  <c r="AP36" i="1" a="1"/>
  <c r="AP36" i="1" s="1"/>
  <c r="AP29" i="1" a="1"/>
  <c r="AP29" i="1" s="1"/>
  <c r="AP37" i="1" a="1"/>
  <c r="AP37" i="1" s="1"/>
  <c r="AP27" i="1" a="1"/>
  <c r="AP27" i="1" s="1"/>
  <c r="AP25" i="1" a="1"/>
  <c r="AP25" i="1" s="1"/>
  <c r="AP26" i="1" a="1"/>
  <c r="AP26" i="1" s="1"/>
  <c r="AP30" i="1" a="1"/>
  <c r="AP30" i="1" s="1"/>
  <c r="AP41" i="1" a="1"/>
  <c r="AP41" i="1" s="1"/>
  <c r="AP32" i="1" a="1"/>
  <c r="AP32" i="1" s="1"/>
  <c r="AP28" i="1" a="1"/>
  <c r="AP28" i="1" s="1"/>
  <c r="AP33" i="1" a="1"/>
  <c r="AP33" i="1" s="1"/>
  <c r="AP45" i="1" a="1"/>
  <c r="AP45" i="1" s="1"/>
  <c r="AP44" i="1" a="1"/>
  <c r="AP44" i="1" s="1"/>
  <c r="AP35" i="1" a="1"/>
  <c r="AP35" i="1" s="1"/>
  <c r="AP40" i="1" a="1"/>
  <c r="AP40" i="1" s="1"/>
  <c r="N39" i="13"/>
  <c r="F39" i="11"/>
  <c r="N38" i="13"/>
  <c r="F38" i="11"/>
  <c r="N37" i="13"/>
  <c r="F37" i="11"/>
  <c r="O8" i="6"/>
  <c r="O22" i="6"/>
  <c r="O23" i="6"/>
  <c r="Z43" i="1"/>
  <c r="Z44" i="1"/>
  <c r="Y45" i="1"/>
  <c r="E24" i="11"/>
  <c r="C20" i="14" s="1"/>
  <c r="E25" i="11"/>
  <c r="C21" i="14" s="1"/>
  <c r="Y43" i="1"/>
  <c r="Y44" i="1"/>
  <c r="Z45" i="1"/>
  <c r="W47" i="1"/>
  <c r="E28" i="11"/>
  <c r="C24" i="14" s="1"/>
  <c r="E27" i="11"/>
  <c r="C23" i="14" s="1"/>
  <c r="E30" i="11"/>
  <c r="C26" i="14" s="1"/>
  <c r="E31" i="11"/>
  <c r="C27" i="14" s="1"/>
  <c r="C15" i="10"/>
  <c r="E23" i="11"/>
  <c r="C19" i="14" s="1"/>
  <c r="E29" i="11"/>
  <c r="C25" i="14" s="1"/>
  <c r="C16" i="10"/>
  <c r="J16" i="10" s="1"/>
  <c r="C17" i="10"/>
  <c r="J17" i="10" s="1"/>
  <c r="C20" i="10"/>
  <c r="C19" i="10"/>
  <c r="AH47" i="1"/>
  <c r="C42" i="8" l="1"/>
  <c r="C43" i="8"/>
  <c r="C39" i="8"/>
  <c r="C40" i="8"/>
  <c r="C37" i="8"/>
  <c r="C36" i="8"/>
  <c r="C35" i="8"/>
  <c r="AP47" i="1"/>
  <c r="J15" i="10"/>
  <c r="F15" i="10" s="1"/>
  <c r="D16" i="10"/>
  <c r="E16" i="10"/>
  <c r="F16" i="10"/>
  <c r="G16" i="10"/>
  <c r="F17" i="10"/>
  <c r="D17" i="10"/>
  <c r="E17" i="10"/>
  <c r="G17" i="10"/>
  <c r="O35" i="6"/>
  <c r="C41" i="8"/>
  <c r="G25" i="14"/>
  <c r="G27" i="14"/>
  <c r="G26" i="14"/>
  <c r="L39" i="11"/>
  <c r="R39" i="13" s="1"/>
  <c r="E24" i="12"/>
  <c r="E24" i="13"/>
  <c r="E25" i="12"/>
  <c r="E25" i="13"/>
  <c r="E23" i="13"/>
  <c r="E23" i="12"/>
  <c r="E31" i="13"/>
  <c r="E31" i="12"/>
  <c r="E30" i="13"/>
  <c r="E30" i="12"/>
  <c r="E26" i="12"/>
  <c r="E29" i="13"/>
  <c r="E27" i="12"/>
  <c r="E26" i="13"/>
  <c r="E29" i="12"/>
  <c r="E28" i="13"/>
  <c r="E27" i="13"/>
  <c r="E28" i="12"/>
  <c r="L37" i="11"/>
  <c r="R37" i="13" s="1"/>
  <c r="L38" i="11"/>
  <c r="R38" i="13" s="1"/>
  <c r="C18" i="10"/>
  <c r="J18" i="10" s="1"/>
  <c r="D43" i="8" l="1"/>
  <c r="H63" i="8"/>
  <c r="H64" i="8" s="1"/>
  <c r="D42" i="8"/>
  <c r="D41" i="8"/>
  <c r="G15" i="10"/>
  <c r="D15" i="10"/>
  <c r="E15" i="10"/>
  <c r="C21" i="10"/>
  <c r="H17" i="10"/>
  <c r="H16" i="10"/>
  <c r="D18" i="10"/>
  <c r="E18" i="10"/>
  <c r="F18" i="10"/>
  <c r="F21" i="10" s="1"/>
  <c r="G18" i="10"/>
  <c r="H26" i="14"/>
  <c r="BK37" i="1" s="1"/>
  <c r="H27" i="14"/>
  <c r="BK38" i="1" s="1"/>
  <c r="BE44" i="1"/>
  <c r="L38" i="13" s="1"/>
  <c r="T38" i="13" s="1"/>
  <c r="BE45" i="1"/>
  <c r="L39" i="13" s="1"/>
  <c r="T39" i="13" s="1"/>
  <c r="BE43" i="1"/>
  <c r="L37" i="13" s="1"/>
  <c r="T37" i="13" s="1"/>
  <c r="E21" i="10" l="1"/>
  <c r="D21" i="10"/>
  <c r="H15" i="10"/>
  <c r="G21" i="10"/>
  <c r="H18" i="10"/>
  <c r="H25" i="14"/>
  <c r="BK36" i="1" l="1"/>
  <c r="BK35" i="1"/>
  <c r="H21" i="10"/>
  <c r="AG35" i="1" l="1" a="1"/>
  <c r="AG35" i="1" s="1"/>
  <c r="AG30" i="1" a="1"/>
  <c r="AG30" i="1" s="1"/>
  <c r="AG32" i="1" a="1"/>
  <c r="AG32" i="1" s="1"/>
  <c r="AF35" i="1" a="1"/>
  <c r="AF35" i="1" s="1"/>
  <c r="AG29" i="1" a="1"/>
  <c r="AG29" i="1" s="1"/>
  <c r="AG27" i="1" a="1"/>
  <c r="AG27" i="1" s="1"/>
  <c r="D29" i="27" s="1"/>
  <c r="AF26" i="1" a="1"/>
  <c r="AF26" i="1" s="1"/>
  <c r="AG42" i="1" a="1"/>
  <c r="AG42" i="1" s="1"/>
  <c r="D32" i="27" s="1"/>
  <c r="AG28" i="1" a="1"/>
  <c r="AG28" i="1" s="1"/>
  <c r="AF39" i="1" a="1"/>
  <c r="AF39" i="1" s="1"/>
  <c r="AF28" i="1" a="1"/>
  <c r="AF28" i="1" s="1"/>
  <c r="AF38" i="1" a="1"/>
  <c r="AF38" i="1" s="1"/>
  <c r="AG26" i="1" a="1"/>
  <c r="AG26" i="1" s="1"/>
  <c r="D28" i="27" s="1"/>
  <c r="AF30" i="1" a="1"/>
  <c r="AF30" i="1" s="1"/>
  <c r="AG38" i="1" a="1"/>
  <c r="AG38" i="1" s="1"/>
  <c r="AG31" i="1" a="1"/>
  <c r="AG31" i="1" s="1"/>
  <c r="AG37" i="1" a="1"/>
  <c r="AG37" i="1" s="1"/>
  <c r="AG39" i="1" a="1"/>
  <c r="AG39" i="1" s="1"/>
  <c r="AF29" i="1" a="1"/>
  <c r="AF29" i="1" s="1"/>
  <c r="AF40" i="1" a="1"/>
  <c r="AF40" i="1" s="1"/>
  <c r="AF36" i="1" a="1"/>
  <c r="AF36" i="1" s="1"/>
  <c r="AG25" i="1" a="1"/>
  <c r="AG25" i="1" s="1"/>
  <c r="D27" i="27" s="1"/>
  <c r="AF27" i="1" a="1"/>
  <c r="AF27" i="1" s="1"/>
  <c r="AG40" i="1" a="1"/>
  <c r="AG40" i="1" s="1"/>
  <c r="D30" i="27" s="1"/>
  <c r="AF32" i="1" a="1"/>
  <c r="AF32" i="1" s="1"/>
  <c r="AG41" i="1" a="1"/>
  <c r="AG41" i="1" s="1"/>
  <c r="D31" i="27" s="1"/>
  <c r="AF25" i="1" a="1"/>
  <c r="AF25" i="1" s="1"/>
  <c r="AG36" i="1" a="1"/>
  <c r="AG36" i="1" s="1"/>
  <c r="AF33" i="1" a="1"/>
  <c r="AF33" i="1" s="1"/>
  <c r="AF42" i="1" a="1"/>
  <c r="AF42" i="1" s="1"/>
  <c r="AF31" i="1" a="1"/>
  <c r="AF31" i="1" s="1"/>
  <c r="AF37" i="1" a="1"/>
  <c r="AF37" i="1" s="1"/>
  <c r="AG33" i="1" a="1"/>
  <c r="AG33" i="1" s="1"/>
  <c r="AF41" i="1" a="1"/>
  <c r="AF41" i="1" s="1"/>
  <c r="M5" i="5"/>
  <c r="D33" i="27" l="1"/>
  <c r="C25" i="10"/>
  <c r="C30" i="10"/>
  <c r="C26" i="10"/>
  <c r="C28" i="10"/>
  <c r="C27" i="10"/>
  <c r="C29" i="10"/>
  <c r="C24" i="10"/>
  <c r="AG47" i="1"/>
  <c r="AF47" i="1"/>
  <c r="AD29" i="1" a="1"/>
  <c r="AD29" i="1" s="1"/>
  <c r="N10" i="6" s="1"/>
  <c r="AD42" i="1" a="1"/>
  <c r="AD42" i="1" s="1"/>
  <c r="N24" i="6" s="1"/>
  <c r="AD25" i="1" a="1"/>
  <c r="AD25" i="1" s="1"/>
  <c r="N6" i="6" s="1"/>
  <c r="AD28" i="1" a="1"/>
  <c r="AD28" i="1" s="1"/>
  <c r="N9" i="6" s="1"/>
  <c r="AD41" i="1" a="1"/>
  <c r="AD41" i="1" s="1"/>
  <c r="N23" i="6" s="1"/>
  <c r="AD39" i="1" a="1"/>
  <c r="AD39" i="1" s="1"/>
  <c r="AD27" i="1" a="1"/>
  <c r="AD27" i="1" s="1"/>
  <c r="N8" i="6" s="1"/>
  <c r="AD40" i="1" a="1"/>
  <c r="AD40" i="1" s="1"/>
  <c r="N22" i="6" s="1"/>
  <c r="AD26" i="1" a="1"/>
  <c r="AD26" i="1" s="1"/>
  <c r="N7" i="6" s="1"/>
  <c r="C31" i="10" l="1"/>
  <c r="N35" i="6"/>
  <c r="AC25" i="1"/>
  <c r="AC42" i="1"/>
  <c r="AD47" i="1"/>
  <c r="AC26" i="1"/>
  <c r="D7" i="11" s="1"/>
  <c r="AC40" i="1"/>
  <c r="D11" i="11" s="1"/>
  <c r="AC27" i="1"/>
  <c r="AC39" i="1"/>
  <c r="CA39" i="1" s="1"/>
  <c r="AC41" i="1"/>
  <c r="C38" i="27" l="1"/>
  <c r="D11" i="13"/>
  <c r="C42" i="27"/>
  <c r="D7" i="12"/>
  <c r="AB27" i="1"/>
  <c r="C8" i="11" s="1"/>
  <c r="D8" i="11"/>
  <c r="AB28" i="1"/>
  <c r="C9" i="11" s="1"/>
  <c r="D13" i="11"/>
  <c r="C44" i="27" s="1"/>
  <c r="D12" i="11"/>
  <c r="C43" i="27" s="1"/>
  <c r="AB40" i="1"/>
  <c r="C11" i="11" s="1"/>
  <c r="C11" i="13" s="1"/>
  <c r="AB26" i="1"/>
  <c r="C7" i="11" s="1"/>
  <c r="AB25" i="1"/>
  <c r="D6" i="11"/>
  <c r="AB39" i="1"/>
  <c r="CA27" i="1"/>
  <c r="M8" i="12" s="1"/>
  <c r="CA40" i="1"/>
  <c r="M11" i="12" s="1"/>
  <c r="CA28" i="1"/>
  <c r="M9" i="12" s="1"/>
  <c r="AB29" i="1"/>
  <c r="C10" i="11" s="1"/>
  <c r="C10" i="13" s="1"/>
  <c r="CA29" i="1"/>
  <c r="M10" i="12" s="1"/>
  <c r="CA26" i="1"/>
  <c r="M7" i="12" s="1"/>
  <c r="AC47" i="1"/>
  <c r="AB42" i="1"/>
  <c r="CA42" i="1"/>
  <c r="M13" i="12" s="1"/>
  <c r="CA25" i="1"/>
  <c r="M6" i="12" s="1"/>
  <c r="AB41" i="1"/>
  <c r="CA41" i="1"/>
  <c r="M12" i="12" s="1"/>
  <c r="G52" i="8" l="1"/>
  <c r="B13" i="19" s="1"/>
  <c r="C14" i="8"/>
  <c r="C39" i="27"/>
  <c r="C13" i="8"/>
  <c r="C37" i="27"/>
  <c r="C10" i="14"/>
  <c r="C6" i="14"/>
  <c r="E11" i="11"/>
  <c r="C11" i="14"/>
  <c r="E10" i="11"/>
  <c r="C10" i="12"/>
  <c r="E9" i="11"/>
  <c r="D40" i="27" s="1"/>
  <c r="C9" i="12"/>
  <c r="D8" i="13"/>
  <c r="D8" i="12"/>
  <c r="C8" i="13"/>
  <c r="C8" i="12"/>
  <c r="E7" i="11"/>
  <c r="D38" i="27" s="1"/>
  <c r="C7" i="12"/>
  <c r="E8" i="11"/>
  <c r="C15" i="8"/>
  <c r="D13" i="13"/>
  <c r="D13" i="12"/>
  <c r="D12" i="12"/>
  <c r="D12" i="13"/>
  <c r="D11" i="12"/>
  <c r="D6" i="12"/>
  <c r="D6" i="13"/>
  <c r="D7" i="13"/>
  <c r="C6" i="11"/>
  <c r="E6" i="11" s="1"/>
  <c r="D37" i="27" s="1"/>
  <c r="D58" i="11"/>
  <c r="C12" i="11"/>
  <c r="C7" i="14" s="1"/>
  <c r="C13" i="11"/>
  <c r="C8" i="14" s="1"/>
  <c r="AB47" i="1"/>
  <c r="C22" i="8" l="1"/>
  <c r="C26" i="8"/>
  <c r="C23" i="8"/>
  <c r="G51" i="8"/>
  <c r="B12" i="19" s="1"/>
  <c r="E10" i="13"/>
  <c r="D41" i="27"/>
  <c r="C24" i="8"/>
  <c r="C27" i="8"/>
  <c r="E8" i="12"/>
  <c r="D39" i="27"/>
  <c r="E11" i="13"/>
  <c r="D42" i="27"/>
  <c r="C17" i="8"/>
  <c r="G53" i="8"/>
  <c r="H57" i="8" s="1"/>
  <c r="G10" i="14"/>
  <c r="E10" i="12"/>
  <c r="E9" i="12"/>
  <c r="E7" i="12"/>
  <c r="E8" i="13"/>
  <c r="C9" i="14"/>
  <c r="C11" i="12"/>
  <c r="C13" i="13"/>
  <c r="C13" i="12"/>
  <c r="C12" i="12"/>
  <c r="C12" i="13"/>
  <c r="C6" i="12"/>
  <c r="C6" i="13"/>
  <c r="E6" i="12"/>
  <c r="E6" i="13"/>
  <c r="C9" i="13"/>
  <c r="C7" i="13"/>
  <c r="C58" i="11"/>
  <c r="E13" i="11"/>
  <c r="D44" i="27" s="1"/>
  <c r="E12" i="11"/>
  <c r="D43" i="27" s="1"/>
  <c r="D26" i="8" l="1"/>
  <c r="C25" i="8"/>
  <c r="C45" i="27"/>
  <c r="H51" i="8"/>
  <c r="B11" i="19"/>
  <c r="H52" i="8"/>
  <c r="B14" i="19" s="1"/>
  <c r="G9" i="14"/>
  <c r="G11" i="14"/>
  <c r="E58" i="11"/>
  <c r="E7" i="13"/>
  <c r="E12" i="12"/>
  <c r="E12" i="13"/>
  <c r="E11" i="12"/>
  <c r="E13" i="13"/>
  <c r="E13" i="12"/>
  <c r="E9" i="13"/>
  <c r="D27" i="8" l="1"/>
  <c r="D25" i="8"/>
  <c r="D17" i="8"/>
  <c r="H53" i="8"/>
  <c r="H9" i="14"/>
  <c r="H11" i="14"/>
  <c r="H10" i="14"/>
  <c r="E4" i="5"/>
  <c r="BJ27" i="1" l="1"/>
  <c r="BJ26" i="1"/>
  <c r="BJ25" i="1"/>
  <c r="K4" i="5"/>
  <c r="AC4" i="5" l="1"/>
  <c r="AA4" i="5" s="1"/>
  <c r="T4" i="5" l="1"/>
  <c r="U7" i="5" l="1"/>
  <c r="U9" i="5"/>
  <c r="U8" i="5"/>
  <c r="K52" i="7"/>
  <c r="E5" i="5" l="1"/>
  <c r="AE30" i="1" s="1" a="1"/>
  <c r="AE30" i="1" s="1"/>
  <c r="AE33" i="1" a="1"/>
  <c r="AE33" i="1" s="1"/>
  <c r="AE38" i="1" l="1" a="1"/>
  <c r="AE38" i="1" s="1"/>
  <c r="AM38" i="1" s="1"/>
  <c r="P38" i="1" s="1"/>
  <c r="BB38" i="1" s="1"/>
  <c r="BN38" i="1" s="1"/>
  <c r="E20" i="11"/>
  <c r="E20" i="12" s="1"/>
  <c r="K5" i="5"/>
  <c r="AQ40" i="1" s="1" a="1"/>
  <c r="AQ40" i="1" s="1"/>
  <c r="AE29" i="1" a="1"/>
  <c r="AE29" i="1" s="1"/>
  <c r="AM29" i="1" s="1"/>
  <c r="AE26" i="1" a="1"/>
  <c r="AE26" i="1" s="1"/>
  <c r="AM26" i="1" s="1"/>
  <c r="AE41" i="1" a="1"/>
  <c r="AE41" i="1" s="1"/>
  <c r="AE34" i="1" a="1"/>
  <c r="AE34" i="1" s="1"/>
  <c r="AE31" i="1" a="1"/>
  <c r="AE31" i="1" s="1"/>
  <c r="AE40" i="1" a="1"/>
  <c r="AE40" i="1" s="1"/>
  <c r="AE27" i="1" a="1"/>
  <c r="AE27" i="1" s="1"/>
  <c r="AM27" i="1" s="1"/>
  <c r="AE25" i="1" a="1"/>
  <c r="AE25" i="1" s="1"/>
  <c r="AE35" i="1" a="1"/>
  <c r="AE35" i="1" s="1"/>
  <c r="AE42" i="1" a="1"/>
  <c r="AE42" i="1" s="1"/>
  <c r="AE37" i="1" a="1"/>
  <c r="AE37" i="1" s="1"/>
  <c r="AE28" i="1" a="1"/>
  <c r="AE28" i="1" s="1"/>
  <c r="AE39" i="1" a="1"/>
  <c r="AE39" i="1" s="1"/>
  <c r="AE36" i="1" a="1"/>
  <c r="AE36" i="1" s="1"/>
  <c r="AE32" i="1" a="1"/>
  <c r="AE32" i="1" s="1"/>
  <c r="AC5" i="5"/>
  <c r="AA5" i="5" s="1"/>
  <c r="AQ29" i="1" a="1"/>
  <c r="AQ29" i="1" s="1"/>
  <c r="AQ45" i="1" a="1"/>
  <c r="AQ45" i="1" s="1"/>
  <c r="AQ34" i="1" a="1"/>
  <c r="AQ34" i="1" s="1"/>
  <c r="AQ44" i="1" a="1"/>
  <c r="AQ44" i="1" s="1"/>
  <c r="AQ39" i="1" a="1"/>
  <c r="AQ39" i="1" s="1"/>
  <c r="AM30" i="1"/>
  <c r="P14" i="6"/>
  <c r="AM33" i="1"/>
  <c r="AQ37" i="1" l="1" a="1"/>
  <c r="AQ37" i="1" s="1"/>
  <c r="E51" i="11" s="1"/>
  <c r="AQ25" i="1" a="1"/>
  <c r="AQ25" i="1" s="1"/>
  <c r="AQ27" i="1" a="1"/>
  <c r="AQ27" i="1" s="1"/>
  <c r="AQ28" i="1" a="1"/>
  <c r="AQ28" i="1" s="1"/>
  <c r="AQ42" i="1" a="1"/>
  <c r="AQ42" i="1" s="1"/>
  <c r="AQ30" i="1" a="1"/>
  <c r="AQ30" i="1" s="1"/>
  <c r="AQ26" i="1" a="1"/>
  <c r="AQ26" i="1" s="1"/>
  <c r="AQ38" i="1" a="1"/>
  <c r="AQ38" i="1" s="1"/>
  <c r="E52" i="11" s="1"/>
  <c r="AQ41" i="1" a="1"/>
  <c r="AQ41" i="1" s="1"/>
  <c r="AQ43" i="1" a="1"/>
  <c r="AQ43" i="1" s="1"/>
  <c r="AQ31" i="1" a="1"/>
  <c r="AQ31" i="1" s="1"/>
  <c r="AQ35" i="1" a="1"/>
  <c r="AQ35" i="1" s="1"/>
  <c r="AQ32" i="1" a="1"/>
  <c r="AQ32" i="1" s="1"/>
  <c r="AQ36" i="1" a="1"/>
  <c r="AQ36" i="1" s="1"/>
  <c r="AQ33" i="1" a="1"/>
  <c r="AQ33" i="1" s="1"/>
  <c r="H31" i="11"/>
  <c r="U38" i="1"/>
  <c r="E20" i="13"/>
  <c r="O26" i="1"/>
  <c r="BA26" i="1" s="1"/>
  <c r="N26" i="1"/>
  <c r="AZ26" i="1" s="1"/>
  <c r="BM26" i="1" s="1"/>
  <c r="P29" i="1"/>
  <c r="N29" i="1"/>
  <c r="AZ29" i="1" s="1"/>
  <c r="E19" i="11"/>
  <c r="E19" i="12" s="1"/>
  <c r="P27" i="1"/>
  <c r="O27" i="1"/>
  <c r="BA27" i="1" s="1"/>
  <c r="N27" i="1"/>
  <c r="AZ27" i="1" s="1"/>
  <c r="BM27" i="1" s="1"/>
  <c r="M33" i="1"/>
  <c r="AY33" i="1" s="1"/>
  <c r="L20" i="13" s="1"/>
  <c r="AM34" i="1"/>
  <c r="P34" i="1" s="1"/>
  <c r="P23" i="6"/>
  <c r="C9" i="10"/>
  <c r="AM40" i="1"/>
  <c r="C11" i="10"/>
  <c r="E21" i="11"/>
  <c r="E18" i="11"/>
  <c r="P15" i="6"/>
  <c r="AM31" i="1"/>
  <c r="C7" i="10"/>
  <c r="E17" i="11"/>
  <c r="AM42" i="1"/>
  <c r="P24" i="6"/>
  <c r="E15" i="11"/>
  <c r="C13" i="14" s="1"/>
  <c r="AM35" i="1"/>
  <c r="C10" i="10"/>
  <c r="P12" i="6"/>
  <c r="P22" i="6"/>
  <c r="AM41" i="1"/>
  <c r="E16" i="11"/>
  <c r="C8" i="10"/>
  <c r="AM25" i="1"/>
  <c r="T5" i="5"/>
  <c r="AE47" i="1"/>
  <c r="AM32" i="1"/>
  <c r="P13" i="6"/>
  <c r="AM36" i="1"/>
  <c r="P36" i="1" s="1"/>
  <c r="AM39" i="1"/>
  <c r="F18" i="7" s="1"/>
  <c r="F19" i="7" s="1"/>
  <c r="K19" i="7" s="1"/>
  <c r="AM28" i="1"/>
  <c r="N28" i="1" s="1"/>
  <c r="AZ28" i="1" s="1"/>
  <c r="AM37" i="1"/>
  <c r="P37" i="1" s="1"/>
  <c r="BB37" i="1" s="1"/>
  <c r="BN37" i="1" s="1"/>
  <c r="V30" i="1"/>
  <c r="V38" i="1"/>
  <c r="V33" i="1"/>
  <c r="V26" i="1"/>
  <c r="V27" i="1"/>
  <c r="V29" i="1"/>
  <c r="H20" i="13" l="1"/>
  <c r="N31" i="13"/>
  <c r="F31" i="11"/>
  <c r="AQ47" i="1"/>
  <c r="P35" i="6"/>
  <c r="C12" i="10"/>
  <c r="C45" i="10" s="1"/>
  <c r="D9" i="10"/>
  <c r="E9" i="10"/>
  <c r="F9" i="10"/>
  <c r="G9" i="10"/>
  <c r="D8" i="10"/>
  <c r="F8" i="10"/>
  <c r="E8" i="10"/>
  <c r="G8" i="10"/>
  <c r="G7" i="10"/>
  <c r="D7" i="10"/>
  <c r="E7" i="10"/>
  <c r="F7" i="10"/>
  <c r="D11" i="10"/>
  <c r="G11" i="10"/>
  <c r="E11" i="10"/>
  <c r="F11" i="10"/>
  <c r="F10" i="10"/>
  <c r="E10" i="10"/>
  <c r="G10" i="10"/>
  <c r="D10" i="10"/>
  <c r="E47" i="11"/>
  <c r="BU33" i="1"/>
  <c r="L20" i="12" s="1"/>
  <c r="N20" i="12" s="1"/>
  <c r="K20" i="12"/>
  <c r="J20" i="12" s="1"/>
  <c r="H28" i="11"/>
  <c r="BB29" i="1"/>
  <c r="H26" i="11"/>
  <c r="BB34" i="1"/>
  <c r="U36" i="1"/>
  <c r="BB36" i="1"/>
  <c r="BN36" i="1" s="1"/>
  <c r="H27" i="11"/>
  <c r="BB27" i="1"/>
  <c r="E48" i="11"/>
  <c r="E50" i="11"/>
  <c r="E49" i="11"/>
  <c r="V34" i="1"/>
  <c r="Z34" i="1" s="1"/>
  <c r="H10" i="11"/>
  <c r="F10" i="11" s="1"/>
  <c r="U29" i="1"/>
  <c r="H20" i="11"/>
  <c r="F20" i="11" s="1"/>
  <c r="U33" i="1"/>
  <c r="H30" i="11"/>
  <c r="U37" i="1"/>
  <c r="M34" i="1"/>
  <c r="AY34" i="1" s="1"/>
  <c r="L21" i="13" s="1"/>
  <c r="U26" i="1"/>
  <c r="H7" i="11"/>
  <c r="F7" i="11" s="1"/>
  <c r="H9" i="11"/>
  <c r="F9" i="11" s="1"/>
  <c r="U28" i="1"/>
  <c r="M31" i="1"/>
  <c r="AY31" i="1" s="1"/>
  <c r="L18" i="13" s="1"/>
  <c r="H8" i="11"/>
  <c r="F8" i="11" s="1"/>
  <c r="U27" i="1"/>
  <c r="C16" i="14"/>
  <c r="R41" i="1"/>
  <c r="Q41" i="1"/>
  <c r="P41" i="1"/>
  <c r="O41" i="1"/>
  <c r="BA41" i="1" s="1"/>
  <c r="J12" i="13" s="1"/>
  <c r="G12" i="13" s="1"/>
  <c r="N41" i="1"/>
  <c r="AZ41" i="1" s="1"/>
  <c r="BV41" i="1" s="1"/>
  <c r="L12" i="12" s="1"/>
  <c r="N12" i="12" s="1"/>
  <c r="M41" i="1"/>
  <c r="AY41" i="1" s="1"/>
  <c r="L16" i="13" s="1"/>
  <c r="M32" i="1"/>
  <c r="AY32" i="1" s="1"/>
  <c r="K19" i="12" s="1"/>
  <c r="J19" i="12" s="1"/>
  <c r="R42" i="1"/>
  <c r="Q42" i="1"/>
  <c r="BC42" i="1" s="1"/>
  <c r="P42" i="1"/>
  <c r="N42" i="1"/>
  <c r="AZ42" i="1" s="1"/>
  <c r="G13" i="12" s="1"/>
  <c r="O42" i="1"/>
  <c r="BA42" i="1" s="1"/>
  <c r="I13" i="12" s="1"/>
  <c r="R40" i="1"/>
  <c r="BD40" i="1" s="1"/>
  <c r="Q40" i="1"/>
  <c r="BC40" i="1" s="1"/>
  <c r="P40" i="1"/>
  <c r="O40" i="1"/>
  <c r="BA40" i="1" s="1"/>
  <c r="I11" i="12" s="1"/>
  <c r="N40" i="1"/>
  <c r="AZ40" i="1" s="1"/>
  <c r="BV40" i="1" s="1"/>
  <c r="L11" i="12" s="1"/>
  <c r="N11" i="12" s="1"/>
  <c r="O25" i="1"/>
  <c r="BA25" i="1" s="1"/>
  <c r="J6" i="13" s="1"/>
  <c r="G6" i="13" s="1"/>
  <c r="N25" i="1"/>
  <c r="AZ25" i="1" s="1"/>
  <c r="M40" i="1"/>
  <c r="AY40" i="1" s="1"/>
  <c r="BU40" i="1" s="1"/>
  <c r="P35" i="1"/>
  <c r="BB35" i="1" s="1"/>
  <c r="E19" i="13"/>
  <c r="M42" i="1"/>
  <c r="AY42" i="1" s="1"/>
  <c r="BU42" i="1" s="1"/>
  <c r="L17" i="12" s="1"/>
  <c r="N17" i="12" s="1"/>
  <c r="V40" i="1"/>
  <c r="Y40" i="1" s="1"/>
  <c r="C29" i="8"/>
  <c r="E17" i="13"/>
  <c r="C15" i="14"/>
  <c r="E21" i="12"/>
  <c r="C17" i="14"/>
  <c r="E16" i="13"/>
  <c r="C14" i="14"/>
  <c r="I10" i="12"/>
  <c r="I10" i="13"/>
  <c r="G10" i="12"/>
  <c r="J8" i="13"/>
  <c r="G8" i="13" s="1"/>
  <c r="I8" i="12"/>
  <c r="I8" i="13"/>
  <c r="F8" i="13" s="1"/>
  <c r="G8" i="12"/>
  <c r="J7" i="13"/>
  <c r="G7" i="13" s="1"/>
  <c r="I7" i="12"/>
  <c r="I7" i="13"/>
  <c r="G7" i="12"/>
  <c r="V31" i="1"/>
  <c r="Z31" i="1" s="1"/>
  <c r="E21" i="13"/>
  <c r="E15" i="13"/>
  <c r="E16" i="12"/>
  <c r="E15" i="12"/>
  <c r="BV31" i="1"/>
  <c r="BW31" i="1"/>
  <c r="V42" i="1"/>
  <c r="Y42" i="1" s="1"/>
  <c r="L13" i="11" s="1"/>
  <c r="R13" i="13" s="1"/>
  <c r="C32" i="27" s="1"/>
  <c r="E32" i="27" s="1"/>
  <c r="E17" i="12"/>
  <c r="V35" i="1"/>
  <c r="Y35" i="1" s="1"/>
  <c r="V25" i="1"/>
  <c r="Z25" i="1" s="1"/>
  <c r="V41" i="1"/>
  <c r="X41" i="1"/>
  <c r="X47" i="1" s="1"/>
  <c r="E18" i="13"/>
  <c r="E18" i="12"/>
  <c r="V39" i="1"/>
  <c r="V37" i="1"/>
  <c r="V28" i="1"/>
  <c r="G9" i="12"/>
  <c r="V36" i="1"/>
  <c r="AM47" i="1"/>
  <c r="V32" i="1"/>
  <c r="P10" i="13"/>
  <c r="BV29" i="1"/>
  <c r="L10" i="12" s="1"/>
  <c r="N10" i="12" s="1"/>
  <c r="BW33" i="1"/>
  <c r="Y30" i="1"/>
  <c r="Z30" i="1"/>
  <c r="BV26" i="1"/>
  <c r="L7" i="12" s="1"/>
  <c r="N7" i="12" s="1"/>
  <c r="P7" i="13"/>
  <c r="Z26" i="1"/>
  <c r="Y26" i="1"/>
  <c r="L7" i="11" s="1"/>
  <c r="R7" i="13" s="1"/>
  <c r="C28" i="27" s="1"/>
  <c r="BV33" i="1"/>
  <c r="Z38" i="1"/>
  <c r="Y38" i="1"/>
  <c r="BE30" i="1"/>
  <c r="BE38" i="1"/>
  <c r="Z33" i="1"/>
  <c r="Y33" i="1"/>
  <c r="BV38" i="1"/>
  <c r="Y29" i="1"/>
  <c r="Z29" i="1"/>
  <c r="BE26" i="1"/>
  <c r="P31" i="13"/>
  <c r="I27" i="14" s="1"/>
  <c r="L31" i="13"/>
  <c r="H31" i="13" s="1"/>
  <c r="K31" i="12"/>
  <c r="J31" i="12" s="1"/>
  <c r="BW38" i="1"/>
  <c r="L31" i="12" s="1"/>
  <c r="N31" i="12" s="1"/>
  <c r="P8" i="13"/>
  <c r="BV27" i="1"/>
  <c r="L8" i="12" s="1"/>
  <c r="N8" i="12" s="1"/>
  <c r="Y27" i="1"/>
  <c r="L8" i="11" s="1"/>
  <c r="R8" i="13" s="1"/>
  <c r="C29" i="27" s="1"/>
  <c r="E29" i="27" s="1"/>
  <c r="Z27" i="1"/>
  <c r="BW26" i="1"/>
  <c r="BE33" i="1"/>
  <c r="C32" i="8" l="1"/>
  <c r="C31" i="8"/>
  <c r="C30" i="8"/>
  <c r="E28" i="27"/>
  <c r="BW34" i="1"/>
  <c r="L27" i="12" s="1"/>
  <c r="N27" i="12" s="1"/>
  <c r="BN34" i="1"/>
  <c r="BW29" i="1"/>
  <c r="L29" i="12" s="1"/>
  <c r="N29" i="12" s="1"/>
  <c r="BN29" i="1"/>
  <c r="BO29" i="1" s="1"/>
  <c r="BW35" i="1"/>
  <c r="BN35" i="1"/>
  <c r="BE27" i="1"/>
  <c r="BN27" i="1"/>
  <c r="BO27" i="1" s="1"/>
  <c r="I6" i="13"/>
  <c r="L6" i="13" s="1"/>
  <c r="H6" i="13" s="1"/>
  <c r="BM25" i="1"/>
  <c r="P6" i="13" s="1"/>
  <c r="I9" i="14" s="1"/>
  <c r="H16" i="13"/>
  <c r="N30" i="13"/>
  <c r="F30" i="11"/>
  <c r="H18" i="13"/>
  <c r="H21" i="13"/>
  <c r="N26" i="13"/>
  <c r="F26" i="11"/>
  <c r="N28" i="13"/>
  <c r="F28" i="11"/>
  <c r="N27" i="13"/>
  <c r="F27" i="11"/>
  <c r="I10" i="14"/>
  <c r="F12" i="10"/>
  <c r="F45" i="10" s="1"/>
  <c r="E12" i="10"/>
  <c r="D12" i="10"/>
  <c r="D45" i="10" s="1"/>
  <c r="G12" i="10"/>
  <c r="H10" i="10"/>
  <c r="H11" i="10"/>
  <c r="H8" i="10"/>
  <c r="H7" i="10"/>
  <c r="H9" i="10"/>
  <c r="L28" i="13"/>
  <c r="H28" i="13" s="1"/>
  <c r="K29" i="12"/>
  <c r="J29" i="12" s="1"/>
  <c r="BE29" i="1"/>
  <c r="BW27" i="1"/>
  <c r="L28" i="12" s="1"/>
  <c r="N28" i="12" s="1"/>
  <c r="L27" i="13"/>
  <c r="H27" i="13" s="1"/>
  <c r="H25" i="11"/>
  <c r="BB42" i="1"/>
  <c r="L25" i="13" s="1"/>
  <c r="H25" i="13" s="1"/>
  <c r="H33" i="11"/>
  <c r="BC41" i="1"/>
  <c r="L33" i="13" s="1"/>
  <c r="H33" i="13" s="1"/>
  <c r="H34" i="11"/>
  <c r="BD41" i="1"/>
  <c r="L34" i="13" s="1"/>
  <c r="H34" i="13" s="1"/>
  <c r="H23" i="11"/>
  <c r="BB40" i="1"/>
  <c r="BW40" i="1" s="1"/>
  <c r="L23" i="12" s="1"/>
  <c r="N23" i="12" s="1"/>
  <c r="H24" i="11"/>
  <c r="BB41" i="1"/>
  <c r="L24" i="13" s="1"/>
  <c r="H24" i="13" s="1"/>
  <c r="H35" i="11"/>
  <c r="BD42" i="1"/>
  <c r="L35" i="13" s="1"/>
  <c r="H35" i="13" s="1"/>
  <c r="K28" i="12"/>
  <c r="J28" i="12" s="1"/>
  <c r="K18" i="12"/>
  <c r="J18" i="12" s="1"/>
  <c r="BU31" i="1"/>
  <c r="L18" i="12" s="1"/>
  <c r="N18" i="12" s="1"/>
  <c r="BU32" i="1"/>
  <c r="L19" i="12" s="1"/>
  <c r="N19" i="12" s="1"/>
  <c r="L19" i="13"/>
  <c r="H19" i="13" s="1"/>
  <c r="E60" i="11"/>
  <c r="K15" i="12"/>
  <c r="J15" i="12" s="1"/>
  <c r="L15" i="13"/>
  <c r="H15" i="13" s="1"/>
  <c r="K21" i="12"/>
  <c r="J21" i="12" s="1"/>
  <c r="BV34" i="1"/>
  <c r="N20" i="13"/>
  <c r="N7" i="13"/>
  <c r="L26" i="13"/>
  <c r="H26" i="13" s="1"/>
  <c r="K27" i="12"/>
  <c r="J27" i="12" s="1"/>
  <c r="L29" i="13"/>
  <c r="H29" i="13" s="1"/>
  <c r="BE34" i="1"/>
  <c r="T31" i="13"/>
  <c r="J11" i="13"/>
  <c r="G11" i="13" s="1"/>
  <c r="BU34" i="1"/>
  <c r="L21" i="12" s="1"/>
  <c r="N21" i="12" s="1"/>
  <c r="Y34" i="1"/>
  <c r="I11" i="13"/>
  <c r="F11" i="13" s="1"/>
  <c r="G11" i="12"/>
  <c r="F11" i="12" s="1"/>
  <c r="Z40" i="1"/>
  <c r="H13" i="11"/>
  <c r="F13" i="11" s="1"/>
  <c r="H12" i="11"/>
  <c r="F12" i="11" s="1"/>
  <c r="H17" i="11"/>
  <c r="F17" i="11" s="1"/>
  <c r="U42" i="1"/>
  <c r="H18" i="11"/>
  <c r="F18" i="11" s="1"/>
  <c r="U31" i="1"/>
  <c r="H21" i="11"/>
  <c r="F21" i="11" s="1"/>
  <c r="U34" i="1"/>
  <c r="H29" i="11"/>
  <c r="U35" i="1"/>
  <c r="H19" i="11"/>
  <c r="F19" i="11" s="1"/>
  <c r="U32" i="1"/>
  <c r="H16" i="11"/>
  <c r="F16" i="11" s="1"/>
  <c r="U41" i="1"/>
  <c r="H15" i="11"/>
  <c r="F15" i="11" s="1"/>
  <c r="U40" i="1"/>
  <c r="N9" i="13"/>
  <c r="H6" i="11"/>
  <c r="F6" i="11" s="1"/>
  <c r="U25" i="1"/>
  <c r="N8" i="13"/>
  <c r="N10" i="13"/>
  <c r="H11" i="11"/>
  <c r="F11" i="11" s="1"/>
  <c r="L17" i="13"/>
  <c r="H17" i="13" s="1"/>
  <c r="K17" i="12"/>
  <c r="J17" i="12" s="1"/>
  <c r="G17" i="14"/>
  <c r="C33" i="8"/>
  <c r="G16" i="14"/>
  <c r="L7" i="13"/>
  <c r="H7" i="13" s="1"/>
  <c r="L10" i="13"/>
  <c r="H10" i="13" s="1"/>
  <c r="Y31" i="1"/>
  <c r="L11" i="11"/>
  <c r="R11" i="13" s="1"/>
  <c r="C30" i="27" s="1"/>
  <c r="E30" i="27" s="1"/>
  <c r="L8" i="13"/>
  <c r="H8" i="13" s="1"/>
  <c r="F10" i="13"/>
  <c r="K10" i="12"/>
  <c r="J10" i="12" s="1"/>
  <c r="F10" i="12"/>
  <c r="I9" i="12"/>
  <c r="F9" i="12"/>
  <c r="F8" i="12"/>
  <c r="K8" i="12"/>
  <c r="J8" i="12" s="1"/>
  <c r="K7" i="12"/>
  <c r="J7" i="12" s="1"/>
  <c r="F7" i="12"/>
  <c r="I9" i="13"/>
  <c r="I12" i="13"/>
  <c r="L12" i="13" s="1"/>
  <c r="H12" i="13" s="1"/>
  <c r="BW25" i="1"/>
  <c r="CA47" i="1" s="1"/>
  <c r="Y41" i="1"/>
  <c r="L33" i="11"/>
  <c r="R33" i="13" s="1"/>
  <c r="J13" i="13"/>
  <c r="G13" i="13" s="1"/>
  <c r="BV42" i="1"/>
  <c r="L13" i="12" s="1"/>
  <c r="N13" i="12" s="1"/>
  <c r="I13" i="13"/>
  <c r="F13" i="13" s="1"/>
  <c r="I6" i="12"/>
  <c r="L12" i="11"/>
  <c r="R12" i="13" s="1"/>
  <c r="C31" i="27" s="1"/>
  <c r="E31" i="27" s="1"/>
  <c r="Z41" i="1"/>
  <c r="BE31" i="1"/>
  <c r="Z35" i="1"/>
  <c r="Z42" i="1"/>
  <c r="BV25" i="1"/>
  <c r="L6" i="12" s="1"/>
  <c r="BE25" i="1"/>
  <c r="G6" i="12"/>
  <c r="BU41" i="1"/>
  <c r="L16" i="12" s="1"/>
  <c r="N16" i="12" s="1"/>
  <c r="I12" i="12"/>
  <c r="BE35" i="1"/>
  <c r="BV35" i="1"/>
  <c r="Y25" i="1"/>
  <c r="L6" i="11" s="1"/>
  <c r="G12" i="12"/>
  <c r="K16" i="12"/>
  <c r="J16" i="12" s="1"/>
  <c r="K26" i="12"/>
  <c r="J26" i="12" s="1"/>
  <c r="AZ47" i="1"/>
  <c r="AY47" i="1"/>
  <c r="BA47" i="1"/>
  <c r="BE32" i="1"/>
  <c r="BE36" i="1"/>
  <c r="BE28" i="1"/>
  <c r="BV37" i="1"/>
  <c r="BE37" i="1"/>
  <c r="Y39" i="1"/>
  <c r="Z39" i="1"/>
  <c r="Z32" i="1"/>
  <c r="Y32" i="1"/>
  <c r="BW36" i="1"/>
  <c r="BV28" i="1"/>
  <c r="L9" i="12" s="1"/>
  <c r="N9" i="12" s="1"/>
  <c r="P9" i="13"/>
  <c r="I11" i="14" s="1"/>
  <c r="Y37" i="1"/>
  <c r="Z37" i="1"/>
  <c r="BV32" i="1"/>
  <c r="BV36" i="1"/>
  <c r="Y28" i="1"/>
  <c r="Z28" i="1"/>
  <c r="L30" i="13"/>
  <c r="H30" i="13" s="1"/>
  <c r="BW37" i="1"/>
  <c r="L30" i="12" s="1"/>
  <c r="N30" i="12" s="1"/>
  <c r="K30" i="12"/>
  <c r="J30" i="12" s="1"/>
  <c r="P30" i="13"/>
  <c r="I26" i="14" s="1"/>
  <c r="V47" i="1"/>
  <c r="BW32" i="1"/>
  <c r="Y36" i="1"/>
  <c r="Z36" i="1"/>
  <c r="BW28" i="1"/>
  <c r="BX39" i="1"/>
  <c r="BE39" i="1"/>
  <c r="BO26" i="1"/>
  <c r="BO30" i="1"/>
  <c r="BX26" i="1"/>
  <c r="BX30" i="1"/>
  <c r="BX38" i="1"/>
  <c r="BX33" i="1"/>
  <c r="K13" i="12"/>
  <c r="J13" i="12" s="1"/>
  <c r="F13" i="12"/>
  <c r="F7" i="13"/>
  <c r="L15" i="12"/>
  <c r="N15" i="12" s="1"/>
  <c r="BO38" i="1"/>
  <c r="H44" i="8" l="1"/>
  <c r="D33" i="8"/>
  <c r="H46" i="8"/>
  <c r="B9" i="19" s="1"/>
  <c r="D32" i="8"/>
  <c r="BX29" i="1"/>
  <c r="L26" i="12"/>
  <c r="N26" i="12" s="1"/>
  <c r="BX35" i="1"/>
  <c r="F6" i="13"/>
  <c r="N24" i="13"/>
  <c r="T24" i="13" s="1"/>
  <c r="F24" i="11"/>
  <c r="N23" i="13"/>
  <c r="F23" i="11"/>
  <c r="N25" i="13"/>
  <c r="T25" i="13" s="1"/>
  <c r="F25" i="11"/>
  <c r="N34" i="13"/>
  <c r="T34" i="13" s="1"/>
  <c r="F34" i="11"/>
  <c r="N35" i="13"/>
  <c r="T35" i="13" s="1"/>
  <c r="F35" i="11"/>
  <c r="N33" i="13"/>
  <c r="T33" i="13" s="1"/>
  <c r="F33" i="11"/>
  <c r="N29" i="13"/>
  <c r="F29" i="11"/>
  <c r="G45" i="10"/>
  <c r="E45" i="10"/>
  <c r="H12" i="10"/>
  <c r="H45" i="10" s="1"/>
  <c r="B7" i="19"/>
  <c r="T28" i="13"/>
  <c r="T27" i="13"/>
  <c r="BX27" i="1"/>
  <c r="BX31" i="1"/>
  <c r="K25" i="12"/>
  <c r="J25" i="12" s="1"/>
  <c r="BC47" i="1"/>
  <c r="BW42" i="1"/>
  <c r="L25" i="12" s="1"/>
  <c r="N25" i="12" s="1"/>
  <c r="K33" i="12"/>
  <c r="J33" i="12" s="1"/>
  <c r="BE41" i="1"/>
  <c r="BD47" i="1"/>
  <c r="K24" i="12"/>
  <c r="J24" i="12" s="1"/>
  <c r="BZ41" i="1"/>
  <c r="M33" i="12" s="1"/>
  <c r="N33" i="12" s="1"/>
  <c r="BE42" i="1"/>
  <c r="BW41" i="1"/>
  <c r="L24" i="12" s="1"/>
  <c r="N24" i="12" s="1"/>
  <c r="BB47" i="1"/>
  <c r="BE40" i="1"/>
  <c r="BX40" i="1"/>
  <c r="L23" i="13"/>
  <c r="K23" i="12"/>
  <c r="J23" i="12" s="1"/>
  <c r="T7" i="13"/>
  <c r="T26" i="13"/>
  <c r="N12" i="13"/>
  <c r="T12" i="13" s="1"/>
  <c r="N13" i="13"/>
  <c r="N16" i="13"/>
  <c r="T16" i="13" s="1"/>
  <c r="N19" i="13"/>
  <c r="K11" i="12"/>
  <c r="J11" i="12" s="1"/>
  <c r="BX34" i="1"/>
  <c r="N6" i="13"/>
  <c r="H40" i="11"/>
  <c r="R6" i="13"/>
  <c r="L40" i="11"/>
  <c r="BO35" i="1"/>
  <c r="P29" i="13"/>
  <c r="H17" i="14"/>
  <c r="L11" i="13"/>
  <c r="H11" i="13" s="1"/>
  <c r="N21" i="13"/>
  <c r="T10" i="13"/>
  <c r="N18" i="13"/>
  <c r="T8" i="13"/>
  <c r="N11" i="13"/>
  <c r="N15" i="13"/>
  <c r="T15" i="13" s="1"/>
  <c r="N17" i="13"/>
  <c r="T17" i="13" s="1"/>
  <c r="T30" i="13"/>
  <c r="H16" i="14"/>
  <c r="F12" i="13"/>
  <c r="L9" i="13"/>
  <c r="K9" i="12"/>
  <c r="J9" i="12" s="1"/>
  <c r="F9" i="13"/>
  <c r="L13" i="13"/>
  <c r="H13" i="13" s="1"/>
  <c r="K6" i="12"/>
  <c r="J6" i="12" s="1"/>
  <c r="BX25" i="1"/>
  <c r="F6" i="12"/>
  <c r="BO25" i="1"/>
  <c r="K12" i="12"/>
  <c r="J12" i="12" s="1"/>
  <c r="F12" i="12"/>
  <c r="BN47" i="1"/>
  <c r="BM47" i="1"/>
  <c r="Y47" i="1"/>
  <c r="BO28" i="1"/>
  <c r="BX32" i="1"/>
  <c r="BO37" i="1"/>
  <c r="BX28" i="1"/>
  <c r="BV47" i="1"/>
  <c r="BU47" i="1"/>
  <c r="BX37" i="1"/>
  <c r="BO36" i="1"/>
  <c r="BX36" i="1"/>
  <c r="N6" i="12"/>
  <c r="J4" i="7" l="1"/>
  <c r="H45" i="8"/>
  <c r="H48" i="8" s="1"/>
  <c r="H56" i="8" s="1"/>
  <c r="H58" i="8" s="1"/>
  <c r="B25" i="19" s="1"/>
  <c r="H47" i="8"/>
  <c r="B10" i="19" s="1"/>
  <c r="T48" i="13"/>
  <c r="R40" i="13"/>
  <c r="C27" i="27"/>
  <c r="T23" i="13"/>
  <c r="H23" i="13"/>
  <c r="T9" i="13"/>
  <c r="H9" i="13"/>
  <c r="B24" i="19"/>
  <c r="J5" i="7"/>
  <c r="J7" i="7" s="1"/>
  <c r="T29" i="13"/>
  <c r="I25" i="14"/>
  <c r="BI34" i="1"/>
  <c r="BL34" i="1" s="1"/>
  <c r="BI33" i="1"/>
  <c r="BI32" i="1"/>
  <c r="BL32" i="1" s="1"/>
  <c r="BI31" i="1"/>
  <c r="B8" i="19"/>
  <c r="BZ47" i="1"/>
  <c r="BZ48" i="1" s="1"/>
  <c r="L55" i="11"/>
  <c r="H14" i="8"/>
  <c r="N50" i="12"/>
  <c r="BX42" i="1"/>
  <c r="BE47" i="1"/>
  <c r="BX41" i="1"/>
  <c r="BW47" i="1"/>
  <c r="L42" i="12"/>
  <c r="N45" i="12" s="1"/>
  <c r="N42" i="12"/>
  <c r="M42" i="12"/>
  <c r="T6" i="13"/>
  <c r="N40" i="13"/>
  <c r="T45" i="13" s="1"/>
  <c r="L40" i="13"/>
  <c r="H11" i="8"/>
  <c r="T11" i="13"/>
  <c r="T13" i="13"/>
  <c r="K42" i="12"/>
  <c r="H23" i="8" l="1"/>
  <c r="H27" i="8"/>
  <c r="E27" i="27"/>
  <c r="E33" i="27" s="1"/>
  <c r="C33" i="27"/>
  <c r="BL31" i="1"/>
  <c r="P18" i="13" s="1"/>
  <c r="T18" i="13" s="1"/>
  <c r="BL33" i="1"/>
  <c r="P20" i="13" s="1"/>
  <c r="T20" i="13" s="1"/>
  <c r="T49" i="13"/>
  <c r="H54" i="11"/>
  <c r="H55" i="11" s="1"/>
  <c r="H15" i="8"/>
  <c r="L58" i="11"/>
  <c r="H40" i="8"/>
  <c r="H9" i="8"/>
  <c r="T43" i="13"/>
  <c r="B6" i="19"/>
  <c r="BX47" i="1"/>
  <c r="N46" i="12"/>
  <c r="BO32" i="1"/>
  <c r="P19" i="13"/>
  <c r="T19" i="13" s="1"/>
  <c r="BO34" i="1"/>
  <c r="P21" i="13"/>
  <c r="T21" i="13" s="1"/>
  <c r="BO33" i="1" l="1"/>
  <c r="BO31" i="1"/>
  <c r="BL47" i="1"/>
  <c r="I16" i="14"/>
  <c r="I17" i="14"/>
  <c r="N47" i="12"/>
  <c r="N51" i="12" s="1"/>
  <c r="H24" i="8"/>
  <c r="T40" i="13"/>
  <c r="P40" i="13"/>
  <c r="H28" i="8" l="1"/>
  <c r="B5" i="19" s="1"/>
  <c r="BO47" i="1"/>
  <c r="H13" i="8"/>
  <c r="T47" i="13"/>
  <c r="T51" i="13" s="1"/>
  <c r="T52" i="13" s="1"/>
  <c r="T53" i="13" s="1"/>
  <c r="H17" i="8" l="1"/>
  <c r="H18" i="8" l="1"/>
  <c r="H19" i="8" l="1"/>
  <c r="B3" i="19"/>
  <c r="B4" i="1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<sst xmlns="http://schemas.openxmlformats.org/spreadsheetml/2006/main" count="1368" uniqueCount="590">
  <si>
    <t>URBANPLAN: BLOCK BUILDER</t>
  </si>
  <si>
    <t>BLOCK BUILDER</t>
  </si>
  <si>
    <t>Building Type</t>
  </si>
  <si>
    <t>Block 1</t>
  </si>
  <si>
    <t>Block 2</t>
  </si>
  <si>
    <t>Block 3</t>
  </si>
  <si>
    <t>Block 4</t>
  </si>
  <si>
    <t>Block 5</t>
  </si>
  <si>
    <t>Block 6</t>
  </si>
  <si>
    <t>Building Information</t>
  </si>
  <si>
    <t>Residential</t>
  </si>
  <si>
    <t>Site Coverage</t>
  </si>
  <si>
    <t>Housing Units</t>
  </si>
  <si>
    <t>Retail SF</t>
  </si>
  <si>
    <t>Townhouses</t>
  </si>
  <si>
    <t>8 units, 10k SF footprint</t>
  </si>
  <si>
    <t>Podium Apartments 1</t>
  </si>
  <si>
    <t>60 units, 20k SF footprint</t>
  </si>
  <si>
    <t>Podium Apartments 2 (Mixed Use)</t>
  </si>
  <si>
    <t>60 units, 5k retail, 20k SF footprint</t>
  </si>
  <si>
    <t>Luxury Condo 1</t>
  </si>
  <si>
    <t>56 units, 20k SF footprint</t>
  </si>
  <si>
    <t>Luxury Condo 2 (Mixed Use)</t>
  </si>
  <si>
    <t>56 units, 5k retail, 20k SF footprint</t>
  </si>
  <si>
    <t>Office</t>
  </si>
  <si>
    <t>Office SF</t>
  </si>
  <si>
    <t>Low-Rise Office 1</t>
  </si>
  <si>
    <t>45k SF, 30k SF footprint</t>
  </si>
  <si>
    <t>Low-Rise Office 2</t>
  </si>
  <si>
    <t>60k SF, 40k SF footprint</t>
  </si>
  <si>
    <t>Mid-Rise Office 1</t>
  </si>
  <si>
    <t>120k SF, 40k footprint</t>
  </si>
  <si>
    <t>Mid-Rise Office 2 (Mixed Use)</t>
  </si>
  <si>
    <t>120k SF, 5k retail, 20k footprint</t>
  </si>
  <si>
    <t>Retail</t>
  </si>
  <si>
    <t>Retail 1</t>
  </si>
  <si>
    <t>5k SF, 10k SF footprint</t>
  </si>
  <si>
    <t>Retail 2</t>
  </si>
  <si>
    <t>10k SF, 20k SF footprint</t>
  </si>
  <si>
    <t>Supermarket</t>
  </si>
  <si>
    <t>40k SF, 50k SF footprint</t>
  </si>
  <si>
    <t>Q-Mart</t>
  </si>
  <si>
    <t>80k SF, 100k SF footprint</t>
  </si>
  <si>
    <t>Rehab</t>
  </si>
  <si>
    <t>Subsidized Community</t>
  </si>
  <si>
    <t>Rent Free Community</t>
  </si>
  <si>
    <t>Phoenix Hotel</t>
  </si>
  <si>
    <t>GO TO USE ALLOCATION</t>
  </si>
  <si>
    <t>60k SF, 20k SF footprint</t>
  </si>
  <si>
    <t>York Dry Goods</t>
  </si>
  <si>
    <t>48k SF, 20K SF footprint</t>
  </si>
  <si>
    <t>Victorian Row</t>
  </si>
  <si>
    <t>75k SF, 40k SF footprint</t>
  </si>
  <si>
    <t>New Homeless Shelter</t>
  </si>
  <si>
    <t>Open Space</t>
  </si>
  <si>
    <t>Park/Plaza</t>
  </si>
  <si>
    <t>5k SF footprint</t>
  </si>
  <si>
    <t>Sports Courts</t>
  </si>
  <si>
    <t>10k SF footprint</t>
  </si>
  <si>
    <t>Skate Park</t>
  </si>
  <si>
    <t>FOOTPRINT USED</t>
  </si>
  <si>
    <t>Total</t>
  </si>
  <si>
    <t>Block Size</t>
  </si>
  <si>
    <t>Planned</t>
  </si>
  <si>
    <t>Overbuilt/(Underbuilt)</t>
  </si>
  <si>
    <t>BLOCK USAGE</t>
  </si>
  <si>
    <t>Building Footprint</t>
  </si>
  <si>
    <t>Parking Footprint</t>
  </si>
  <si>
    <t>Total  Planned</t>
  </si>
  <si>
    <t>URBANPLAN: USE ALLOCATION</t>
  </si>
  <si>
    <t>AFFORDABLE HOUSING CREATION</t>
  </si>
  <si>
    <t>NET ZERO BUILDING %</t>
  </si>
  <si>
    <t>Product Type</t>
  </si>
  <si>
    <t>% Affordable</t>
  </si>
  <si>
    <t>Total Construction Costs</t>
  </si>
  <si>
    <t>Townhouses (Moderate Income)</t>
  </si>
  <si>
    <t>Cost for 100% of buildings to achieve Net Zero</t>
  </si>
  <si>
    <t>Podium Apartments (Low Income)</t>
  </si>
  <si>
    <t>% of buildings that will be Net Zero (0 to 100%)</t>
  </si>
  <si>
    <t>Rehab (Very Low Income)</t>
  </si>
  <si>
    <t>Total Net Zero Building Cost</t>
  </si>
  <si>
    <t/>
  </si>
  <si>
    <t>PHOENIX HOTEL REHAB</t>
  </si>
  <si>
    <t>Choice</t>
  </si>
  <si>
    <t>CHOOSE IN BLOCK BUILDER</t>
  </si>
  <si>
    <t>Use: Mixed-Use or Shelter</t>
  </si>
  <si>
    <t>Mixed Use</t>
  </si>
  <si>
    <t>OVERRIDEN IN MODEL IF DEMOLISHED ABOVE</t>
  </si>
  <si>
    <t>Location</t>
  </si>
  <si>
    <t>Shelter
SF</t>
  </si>
  <si>
    <t>Residential Units</t>
  </si>
  <si>
    <t>Residential
SF</t>
  </si>
  <si>
    <t>Total SF</t>
  </si>
  <si>
    <t>Floor 1 (15,000 SF)</t>
  </si>
  <si>
    <t>Floor 2 (15,000 SF)</t>
  </si>
  <si>
    <t>Floor 3 (15,000 SF)</t>
  </si>
  <si>
    <t>Floor 4 (15,000 SF)</t>
  </si>
  <si>
    <t>Office (Remainder)</t>
  </si>
  <si>
    <t>Shelter</t>
  </si>
  <si>
    <t>Total Phoenix Hotel Rehab</t>
  </si>
  <si>
    <t>YORK DRY GOODS</t>
  </si>
  <si>
    <t>Subsidized Community SF</t>
  </si>
  <si>
    <t>Rent-Free
Community SF</t>
  </si>
  <si>
    <t>Floor 1 (12,000 SF)</t>
  </si>
  <si>
    <t>Floor 2 (12,000 SF)</t>
  </si>
  <si>
    <t>Floor 3 (12,000 SF)</t>
  </si>
  <si>
    <t>Floor 4 (12,000 SF)</t>
  </si>
  <si>
    <t>Branch Library (7,500 SF)</t>
  </si>
  <si>
    <t>Community Art Space (2,500 SF)</t>
  </si>
  <si>
    <t>Community Space with Resilience Hub (7,000 SF)</t>
  </si>
  <si>
    <t>Day Care Center (3,500 SF)</t>
  </si>
  <si>
    <t>Drug Treatment Center (1,500 SF)</t>
  </si>
  <si>
    <t>Police Sub-Station (1,500 SF)</t>
  </si>
  <si>
    <t>Public Health Clinic (5,000 SF)</t>
  </si>
  <si>
    <t>Senior Center (6,000 SF)</t>
  </si>
  <si>
    <t>Small Business Incubator (4,000 SF)</t>
  </si>
  <si>
    <t>Teen Center (5,000 SF)</t>
  </si>
  <si>
    <t>Yorktown Bike Share (5,500 SF)</t>
  </si>
  <si>
    <t>Artist Studios (10,000 SF)</t>
  </si>
  <si>
    <t>University Classrooms (15,000 SF)</t>
  </si>
  <si>
    <t>VICTORIAN ROW REHAB</t>
  </si>
  <si>
    <t>Is Victorian Row Rehabbed?</t>
  </si>
  <si>
    <t>CHOOSE FROM BLOCK BUILDER</t>
  </si>
  <si>
    <t>Floor 1 (25,000 SF)</t>
  </si>
  <si>
    <t>Floor 2 (25,000 SF)</t>
  </si>
  <si>
    <t>Floor 3 (25,000 SF)</t>
  </si>
  <si>
    <t>Notes:</t>
  </si>
  <si>
    <t>(1) Units will be rounded to the closest whole number based upon percentage entered.</t>
  </si>
  <si>
    <t>URBANPLAN: SUMMARY</t>
  </si>
  <si>
    <t>Team Information</t>
  </si>
  <si>
    <t>Team Name</t>
  </si>
  <si>
    <t>Name</t>
  </si>
  <si>
    <t>Team Number</t>
  </si>
  <si>
    <t>Number</t>
  </si>
  <si>
    <t>Footprint and Use Allocation Check</t>
  </si>
  <si>
    <t>Developer Return Summary</t>
  </si>
  <si>
    <t>Is any block overbuilt? Yes/No</t>
  </si>
  <si>
    <t>Market Value</t>
  </si>
  <si>
    <t>Are existing buildings overallocated?  Yes/No</t>
  </si>
  <si>
    <t>Costs/Subsidies</t>
  </si>
  <si>
    <t>- Construction Costs</t>
  </si>
  <si>
    <t>Affordable Housing Creation</t>
  </si>
  <si>
    <t>Total Units</t>
  </si>
  <si>
    <t>%</t>
  </si>
  <si>
    <t>- Land Payment</t>
  </si>
  <si>
    <t>Townhouses  (Moderate Income)</t>
  </si>
  <si>
    <t>- Absorption Penalty</t>
  </si>
  <si>
    <t>+ City Construction Cost Subsidy</t>
  </si>
  <si>
    <t>- Net Zero Building Cost</t>
  </si>
  <si>
    <t>Luxury Condominium</t>
  </si>
  <si>
    <t>- Shelter: Relocation Fee</t>
  </si>
  <si>
    <t>Total Affordable Housing Units</t>
  </si>
  <si>
    <t>Total Costs/Subsidies</t>
  </si>
  <si>
    <t>Developer Net Profit</t>
  </si>
  <si>
    <t>Total Units/SF</t>
  </si>
  <si>
    <t>Years to</t>
  </si>
  <si>
    <t>Rate of Return</t>
  </si>
  <si>
    <t xml:space="preserve"> Absorb</t>
  </si>
  <si>
    <t>Market-Rate Residential</t>
  </si>
  <si>
    <t>City Revenue Summary</t>
  </si>
  <si>
    <t>In Podium</t>
  </si>
  <si>
    <t>City Revenue</t>
  </si>
  <si>
    <t>$</t>
  </si>
  <si>
    <t>+ City Tax Revenue (10-Year)</t>
  </si>
  <si>
    <t>- City Operating Costs (10-Year)</t>
  </si>
  <si>
    <t>+ Sale of Land to Developer</t>
  </si>
  <si>
    <t>Podium Apartments</t>
  </si>
  <si>
    <t>- Cost of Land Acquisition</t>
  </si>
  <si>
    <t>Luxury Condos</t>
  </si>
  <si>
    <t>- City Construction Cost Subsidy</t>
  </si>
  <si>
    <t>City Net Revenue</t>
  </si>
  <si>
    <t>In Low Rise</t>
  </si>
  <si>
    <t>City Fee Summary</t>
  </si>
  <si>
    <t>Fee to City for relocating shelter</t>
  </si>
  <si>
    <t>Low-Rise Office</t>
  </si>
  <si>
    <t>Mid-Rise Office</t>
  </si>
  <si>
    <t>SF</t>
  </si>
  <si>
    <t>% of Site Area</t>
  </si>
  <si>
    <t>In Neigh. Ret.</t>
  </si>
  <si>
    <t>Total Open Space</t>
  </si>
  <si>
    <t>Mid-Rise Office 2</t>
  </si>
  <si>
    <t>Podium Apartments 2</t>
  </si>
  <si>
    <t>Net Zero</t>
  </si>
  <si>
    <t>Luxury Condos 2</t>
  </si>
  <si>
    <t>Fee</t>
  </si>
  <si>
    <t>Neighborhood Retail</t>
  </si>
  <si>
    <t xml:space="preserve">Supermarket </t>
  </si>
  <si>
    <t>Jobs Creation Summary</t>
  </si>
  <si>
    <t>Job Creation</t>
  </si>
  <si>
    <t># of Jobs</t>
  </si>
  <si>
    <t>Part-Time Entry Level</t>
  </si>
  <si>
    <t>Community Facilities</t>
  </si>
  <si>
    <t>Subsidized SF</t>
  </si>
  <si>
    <t>Rent-Free SF</t>
  </si>
  <si>
    <t>Full-Time Entry Level</t>
  </si>
  <si>
    <t>Mid-Paying</t>
  </si>
  <si>
    <t>High-Paying</t>
  </si>
  <si>
    <t>Total Jobs</t>
  </si>
  <si>
    <t>Total Housing Summary</t>
  </si>
  <si>
    <t>Units</t>
  </si>
  <si>
    <t>Market-Rate Housing Creation</t>
  </si>
  <si>
    <t>Total Housing Units</t>
  </si>
  <si>
    <t>Jobs to Housing Ratio</t>
  </si>
  <si>
    <t>Total Number of Jobs</t>
  </si>
  <si>
    <t>Total Number of Housing Units</t>
  </si>
  <si>
    <t>Ratio (Jobs to Housing)</t>
  </si>
  <si>
    <t>Parking</t>
  </si>
  <si>
    <t>Stalls</t>
  </si>
  <si>
    <t>Artists Studios (10,000 SF)</t>
  </si>
  <si>
    <t>Surface</t>
  </si>
  <si>
    <t>Structured</t>
  </si>
  <si>
    <t>Total Community Facilities</t>
  </si>
  <si>
    <t>Subterranean</t>
  </si>
  <si>
    <t>URBANPLAN: COSTS</t>
  </si>
  <si>
    <t>X Cost/(Unit or Bldg SF)</t>
  </si>
  <si>
    <t>=</t>
  </si>
  <si>
    <t>Construction Cost</t>
  </si>
  <si>
    <t>X</t>
  </si>
  <si>
    <t>% City Share of Cost</t>
  </si>
  <si>
    <t>Total City Cost</t>
  </si>
  <si>
    <t>Market-Rate</t>
  </si>
  <si>
    <t>Affordable</t>
  </si>
  <si>
    <t>Cost/Unit</t>
  </si>
  <si>
    <t>Luxury Condos 1</t>
  </si>
  <si>
    <t>Building SF</t>
  </si>
  <si>
    <t>Cost/SF</t>
  </si>
  <si>
    <t>Retail in Mid-Rise Office 2</t>
  </si>
  <si>
    <t>Retail in Podium Apartments 2</t>
  </si>
  <si>
    <t>Retail in Luxury Condo 2</t>
  </si>
  <si>
    <t>Community and "Rent-Free" Space  Facilities</t>
  </si>
  <si>
    <t>Total Cost</t>
  </si>
  <si>
    <t>York Dry Goods: Subsidized Community Facilities</t>
  </si>
  <si>
    <t xml:space="preserve">York Dry Goods: Rent-Free Community Facilities </t>
  </si>
  <si>
    <t xml:space="preserve">Victorian Row: Rent-Free Community Facilities </t>
  </si>
  <si>
    <t>TOTAL CONSTRUCTION COSTS</t>
  </si>
  <si>
    <t>Homeless Shelter</t>
  </si>
  <si>
    <t>Beds</t>
  </si>
  <si>
    <t>Phoenix Hotel: Homeless Shelter</t>
  </si>
  <si>
    <t>Construction cost paid by Church</t>
  </si>
  <si>
    <t>Shelter Relocation Fee Charged to Developer</t>
  </si>
  <si>
    <t>Parking (Costs Included in Building Above)</t>
  </si>
  <si>
    <t>Total Spaces</t>
  </si>
  <si>
    <t xml:space="preserve">Low-Rise Office </t>
  </si>
  <si>
    <t xml:space="preserve">Mid-Rise Office </t>
  </si>
  <si>
    <t>Cost of Land</t>
  </si>
  <si>
    <t>Total Net Zero Building Fee</t>
  </si>
  <si>
    <t>TOTAL COSTS</t>
  </si>
  <si>
    <t>TOTAL UNITS</t>
  </si>
  <si>
    <t>Net Zero Building Cost</t>
  </si>
  <si>
    <t>Total Residential</t>
  </si>
  <si>
    <t>Total Shelter Beds</t>
  </si>
  <si>
    <t>Total Parking Spaces</t>
  </si>
  <si>
    <t>URBANPLAN: MARKET ABSORPTION</t>
  </si>
  <si>
    <t>/</t>
  </si>
  <si>
    <t>Annual Absorption</t>
  </si>
  <si>
    <t>Years to Absorb</t>
  </si>
  <si>
    <t>Time &gt; 3 Years</t>
  </si>
  <si>
    <t>Total Absorption Penalty</t>
  </si>
  <si>
    <t>URBANPLAN: VALUE</t>
  </si>
  <si>
    <t>Market-Rate Value/Unit</t>
  </si>
  <si>
    <t>Affordable Value/Unit</t>
  </si>
  <si>
    <t>X Value/(Unit or SF)</t>
  </si>
  <si>
    <t>Market-Rate Value</t>
  </si>
  <si>
    <t>Affordable Value</t>
  </si>
  <si>
    <t>-</t>
  </si>
  <si>
    <t>Cost</t>
  </si>
  <si>
    <t>Absorption Penalty</t>
  </si>
  <si>
    <t>+</t>
  </si>
  <si>
    <t>City Construction Cost Subsidy</t>
  </si>
  <si>
    <t>Developer Profit</t>
  </si>
  <si>
    <t>Value/Unit</t>
  </si>
  <si>
    <t>Value/SF</t>
  </si>
  <si>
    <t>In Low-Rise</t>
  </si>
  <si>
    <t>In Neighborhood</t>
  </si>
  <si>
    <t>Community and "Rent-Free" Facilities</t>
  </si>
  <si>
    <t>Total Value</t>
  </si>
  <si>
    <t>Sports Fields</t>
  </si>
  <si>
    <t>TOTAL</t>
  </si>
  <si>
    <t>URBANPLAN: CITY REVENUE</t>
  </si>
  <si>
    <t xml:space="preserve">Affordable Value/Unit </t>
  </si>
  <si>
    <t>X Value</t>
  </si>
  <si>
    <t>= Value</t>
  </si>
  <si>
    <t>Annual City Property/Sales Tax Revenues</t>
  </si>
  <si>
    <t>Annual City Operating Costs</t>
  </si>
  <si>
    <t>Revenue over 10-year Period</t>
  </si>
  <si>
    <t>Tax Revenue (10 Years)</t>
  </si>
  <si>
    <t>City Operating Costs (10 Years)</t>
  </si>
  <si>
    <t>City 10-Year Tax Revenue</t>
  </si>
  <si>
    <t>Sale of Land to Developer</t>
  </si>
  <si>
    <t>Cost of Land Acquisition</t>
  </si>
  <si>
    <t>Homeless Shelter Relocation Fee From Developer</t>
  </si>
  <si>
    <t>URBANPLAN: JOBS</t>
  </si>
  <si>
    <t>Jobs by Type</t>
  </si>
  <si>
    <t>Job Ratios</t>
  </si>
  <si>
    <t>Building Square Feet</t>
  </si>
  <si>
    <t>Bldgs</t>
  </si>
  <si>
    <t>PT Entry/Building</t>
  </si>
  <si>
    <t>FT Entry/Building</t>
  </si>
  <si>
    <t>Mid/Bldg</t>
  </si>
  <si>
    <t>High/Building</t>
  </si>
  <si>
    <t>Total Office</t>
  </si>
  <si>
    <t>Total Retail</t>
  </si>
  <si>
    <t>Community and Rent-Free Facilities</t>
  </si>
  <si>
    <t>Total Community and Rent-Free Facilities</t>
  </si>
  <si>
    <t>Artists Studio (10,000 SF)</t>
  </si>
  <si>
    <t>Artist Studio (10,000 SF)</t>
  </si>
  <si>
    <t>University Classroom (15,000 SF)</t>
  </si>
  <si>
    <t>Team's Name</t>
  </si>
  <si>
    <t>&lt;== COPY AND PASTE THE VALUES OF THE GREEN SECTION TO THE MASTER MODEL TO BUILD THE SCORECARD</t>
  </si>
  <si>
    <t>Profit ($)</t>
  </si>
  <si>
    <t>Rate of Return (%) &gt;= 13.5%</t>
  </si>
  <si>
    <t>City Return ($) &gt;= $9.5mm</t>
  </si>
  <si>
    <t>Total Jobs Created</t>
  </si>
  <si>
    <t xml:space="preserve">    # of Part-Time Entry Level</t>
  </si>
  <si>
    <t xml:space="preserve">    # of Full-Time Entry Level</t>
  </si>
  <si>
    <t xml:space="preserve">    # of Mid-Paying</t>
  </si>
  <si>
    <t xml:space="preserve">    # of High-Paying</t>
  </si>
  <si>
    <t xml:space="preserve">    # of Market-Rate Units</t>
  </si>
  <si>
    <t xml:space="preserve">    # of Affordable Units</t>
  </si>
  <si>
    <t>Affordable Housing (%) &gt;=10%</t>
  </si>
  <si>
    <t>Homeless Shelter (none - rehab in Phoenix - new)</t>
  </si>
  <si>
    <t>Supermarket/Q-Mart/Neither</t>
  </si>
  <si>
    <t>Sum of Community Facilities in York Dry Goods (SF)</t>
  </si>
  <si>
    <t>Sum of Rent-Free Community Space (SF)</t>
  </si>
  <si>
    <t>Total Open Space (%)</t>
  </si>
  <si>
    <t>Park/Plaza (SF)</t>
  </si>
  <si>
    <t>Sports Fields &amp; Courts (SF)</t>
  </si>
  <si>
    <t>Skate Park (SF)</t>
  </si>
  <si>
    <t>Net Zero Building %</t>
  </si>
  <si>
    <t>Absorption (are any uses overbuilt?)</t>
  </si>
  <si>
    <t>Jobs/Housing Ratio</t>
  </si>
  <si>
    <t>MODEL DRIVERS =&gt;&gt;</t>
  </si>
  <si>
    <t>URBANPLAN FINANCIAL MODEL</t>
  </si>
  <si>
    <t>City Subsidies</t>
  </si>
  <si>
    <t>Input Costs</t>
  </si>
  <si>
    <t>Shelter Outcomes</t>
  </si>
  <si>
    <t>Affordable Housing</t>
  </si>
  <si>
    <t>City Land Purchase</t>
  </si>
  <si>
    <t>Shelter: Relocation Fee</t>
  </si>
  <si>
    <t xml:space="preserve"> </t>
  </si>
  <si>
    <t>Developer Land Fee</t>
  </si>
  <si>
    <t>Shelter: Church Contribution</t>
  </si>
  <si>
    <t>Shelter Relocation Fee</t>
  </si>
  <si>
    <t>Shelter Total Beds</t>
  </si>
  <si>
    <t>MODEL BELOW</t>
  </si>
  <si>
    <t>Massing</t>
  </si>
  <si>
    <t>Over(Under)</t>
  </si>
  <si>
    <t>Site Allocation</t>
  </si>
  <si>
    <t>SITE BUILDER</t>
  </si>
  <si>
    <t>Building Breakout Costs</t>
  </si>
  <si>
    <t>City Cost</t>
  </si>
  <si>
    <t>Value Creation</t>
  </si>
  <si>
    <t>Value</t>
  </si>
  <si>
    <t>Absorption</t>
  </si>
  <si>
    <t>Tax</t>
  </si>
  <si>
    <t>Subsidy</t>
  </si>
  <si>
    <t>Type</t>
  </si>
  <si>
    <t>Building</t>
  </si>
  <si>
    <t>Building Count</t>
  </si>
  <si>
    <t>Per Unit Site Area</t>
  </si>
  <si>
    <t>Residential Market-Rate</t>
  </si>
  <si>
    <t>Residential Affordable</t>
  </si>
  <si>
    <t>Rent-Free Community</t>
  </si>
  <si>
    <t>cost check</t>
  </si>
  <si>
    <t xml:space="preserve">Subsidized Community </t>
  </si>
  <si>
    <t>City Percentage of Total Cost</t>
  </si>
  <si>
    <t>Affordable %</t>
  </si>
  <si>
    <t>Market</t>
  </si>
  <si>
    <t>Total Rentable SF</t>
  </si>
  <si>
    <t>Surface Parking Units</t>
  </si>
  <si>
    <t>Structured Parking Units</t>
  </si>
  <si>
    <t>Subterranean Parking Units</t>
  </si>
  <si>
    <t>Total Parking Units</t>
  </si>
  <si>
    <t>Penalty Multiplier</t>
  </si>
  <si>
    <t>Margin</t>
  </si>
  <si>
    <t>% of Value Penalty</t>
  </si>
  <si>
    <t>Office Penalty %</t>
  </si>
  <si>
    <t>Residential Market-Rate Penalty %</t>
  </si>
  <si>
    <t>Retail
Penalty %</t>
  </si>
  <si>
    <t>Office
Penalty $</t>
  </si>
  <si>
    <t>Residential Market-Rate Penalty $</t>
  </si>
  <si>
    <t>Retail
Penalty $</t>
  </si>
  <si>
    <t>Total Absorption Penalty $</t>
  </si>
  <si>
    <t>Office Tax Rate</t>
  </si>
  <si>
    <t>Residential Market-Rate Tax Rate</t>
  </si>
  <si>
    <t>Residential Affordable Tax Rate</t>
  </si>
  <si>
    <t>Retail Tax Rate</t>
  </si>
  <si>
    <t>Rent-Free Space  Tax Rate</t>
  </si>
  <si>
    <t>Office Tax</t>
  </si>
  <si>
    <t>Residential Market-Rate Tax</t>
  </si>
  <si>
    <t>Retail Tax</t>
  </si>
  <si>
    <t>Total Tax</t>
  </si>
  <si>
    <t>City Subsidy Rate</t>
  </si>
  <si>
    <t>City Subsidy</t>
  </si>
  <si>
    <t>Residential Affordable Subsidy</t>
  </si>
  <si>
    <t>Community</t>
  </si>
  <si>
    <t>LRO1</t>
  </si>
  <si>
    <t>LRO2</t>
  </si>
  <si>
    <t>MRO1</t>
  </si>
  <si>
    <t>MRO2</t>
  </si>
  <si>
    <t>Phoenix Shelter</t>
  </si>
  <si>
    <t>Phoenix Mixed Use</t>
  </si>
  <si>
    <t>Victorian Mixed Use</t>
  </si>
  <si>
    <t>Park</t>
  </si>
  <si>
    <t>Sport</t>
  </si>
  <si>
    <t>Skate</t>
  </si>
  <si>
    <t>END</t>
  </si>
  <si>
    <t>Building Floors</t>
  </si>
  <si>
    <t>Parking Deck</t>
  </si>
  <si>
    <t>Residential SF</t>
  </si>
  <si>
    <t>Community SF</t>
  </si>
  <si>
    <t>Community Commercial SF</t>
  </si>
  <si>
    <t>Shelter SF</t>
  </si>
  <si>
    <t>Program Rentable SF</t>
  </si>
  <si>
    <t>Residential Units/Gross SF</t>
  </si>
  <si>
    <t>Residential Units/Building</t>
  </si>
  <si>
    <t>Parking SF</t>
  </si>
  <si>
    <t>Site Area</t>
  </si>
  <si>
    <t>FAR</t>
  </si>
  <si>
    <t>Parking/(1000 or Unit)</t>
  </si>
  <si>
    <t>SF of parking/car</t>
  </si>
  <si>
    <t>Cost/ Rentable SF</t>
  </si>
  <si>
    <t>Cost/Residential Unit</t>
  </si>
  <si>
    <t>Total Floor SF</t>
  </si>
  <si>
    <t>Building Cost</t>
  </si>
  <si>
    <t>Building Value (1)</t>
  </si>
  <si>
    <t>Value/Site Area</t>
  </si>
  <si>
    <t>Profit</t>
  </si>
  <si>
    <t>Profit/Site Area</t>
  </si>
  <si>
    <t>NAP</t>
  </si>
  <si>
    <t>(1) Assumes no affordable housing</t>
  </si>
  <si>
    <t>User Notes</t>
  </si>
  <si>
    <t>School/Group Location</t>
  </si>
  <si>
    <t>B1_TH</t>
  </si>
  <si>
    <t>B2_TH</t>
  </si>
  <si>
    <t>B3_TH</t>
  </si>
  <si>
    <t>B4_TH</t>
  </si>
  <si>
    <t>B5_TH</t>
  </si>
  <si>
    <t>B6_TH</t>
  </si>
  <si>
    <t>B1_POD1</t>
  </si>
  <si>
    <t>B2_POD1</t>
  </si>
  <si>
    <t>B3_POD1</t>
  </si>
  <si>
    <t>B4_POD1</t>
  </si>
  <si>
    <t>B5_POD1</t>
  </si>
  <si>
    <t>B6_POD1</t>
  </si>
  <si>
    <t>B1_POD2</t>
  </si>
  <si>
    <t>B2_POD2</t>
  </si>
  <si>
    <t>B3_POD2</t>
  </si>
  <si>
    <t>B4_POD2</t>
  </si>
  <si>
    <t>B5_POD2</t>
  </si>
  <si>
    <t>B6_POD2</t>
  </si>
  <si>
    <t>B1_LUX1</t>
  </si>
  <si>
    <t>B2_LUX1</t>
  </si>
  <si>
    <t>B3_LUX1</t>
  </si>
  <si>
    <t>B4_LUX1</t>
  </si>
  <si>
    <t>B5_LUX1</t>
  </si>
  <si>
    <t>B6_LUX1</t>
  </si>
  <si>
    <t>B1_LUX2</t>
  </si>
  <si>
    <t>B2_LUX2</t>
  </si>
  <si>
    <t>B3_LUX2</t>
  </si>
  <si>
    <t>B4_LUX2</t>
  </si>
  <si>
    <t>B5_LUX2</t>
  </si>
  <si>
    <t>B6_LUX2</t>
  </si>
  <si>
    <t>B1_LR1</t>
  </si>
  <si>
    <t>B2_LR1</t>
  </si>
  <si>
    <t>B3_LR1</t>
  </si>
  <si>
    <t>B4_LR1</t>
  </si>
  <si>
    <t>B5_LR1</t>
  </si>
  <si>
    <t>B6_LR1</t>
  </si>
  <si>
    <t>B1_LR2</t>
  </si>
  <si>
    <t>B2_LR2</t>
  </si>
  <si>
    <t>B3_LR2</t>
  </si>
  <si>
    <t>B4_LR2</t>
  </si>
  <si>
    <t>B5_LR2</t>
  </si>
  <si>
    <t>B6_LR2</t>
  </si>
  <si>
    <t>B1_MR1</t>
  </si>
  <si>
    <t>B2_MR1</t>
  </si>
  <si>
    <t>B3_MR1</t>
  </si>
  <si>
    <t>B4_MR1</t>
  </si>
  <si>
    <t>B5_MR1</t>
  </si>
  <si>
    <t>B6_MR1</t>
  </si>
  <si>
    <t>B1_MR2</t>
  </si>
  <si>
    <t>B2_MR2</t>
  </si>
  <si>
    <t>B3_MR2</t>
  </si>
  <si>
    <t>B4_MR2</t>
  </si>
  <si>
    <t>B5_MR2</t>
  </si>
  <si>
    <t>B6_MR2</t>
  </si>
  <si>
    <t>B1_RET1</t>
  </si>
  <si>
    <t>B2_RET1</t>
  </si>
  <si>
    <t>B3_RET1</t>
  </si>
  <si>
    <t>B4_RET1</t>
  </si>
  <si>
    <t>B5_RET1</t>
  </si>
  <si>
    <t>B6_RET1</t>
  </si>
  <si>
    <t>B1_RET2</t>
  </si>
  <si>
    <t>B2_RET2</t>
  </si>
  <si>
    <t>B3_RET2</t>
  </si>
  <si>
    <t>B4_RET2</t>
  </si>
  <si>
    <t>B5_RET2</t>
  </si>
  <si>
    <t>B6_RET2</t>
  </si>
  <si>
    <t>B1_SUPER</t>
  </si>
  <si>
    <t>B2_SUPER</t>
  </si>
  <si>
    <t>B3_SUPER</t>
  </si>
  <si>
    <t>B4_SUPER</t>
  </si>
  <si>
    <t>B5_SUPER</t>
  </si>
  <si>
    <t>B1_QMART</t>
  </si>
  <si>
    <t>B2_QMART</t>
  </si>
  <si>
    <t>B2_PHX</t>
  </si>
  <si>
    <t>B4_VIC</t>
  </si>
  <si>
    <t>B1_NEWSHELTER</t>
  </si>
  <si>
    <t>B2_NEWSHELTER</t>
  </si>
  <si>
    <t>B3_NEWSHELTER</t>
  </si>
  <si>
    <t>B4_NEWSHELTER</t>
  </si>
  <si>
    <t>B5_NEWSHELTER</t>
  </si>
  <si>
    <t>B6_NEWSHELTER</t>
  </si>
  <si>
    <t>B1_PARK</t>
  </si>
  <si>
    <t>B2_PARK</t>
  </si>
  <si>
    <t>B3_PARK</t>
  </si>
  <si>
    <t>B4_PARK</t>
  </si>
  <si>
    <t>B5_PARK</t>
  </si>
  <si>
    <t>B6_PARK</t>
  </si>
  <si>
    <t>B1_SPORT</t>
  </si>
  <si>
    <t>B2_SPORT</t>
  </si>
  <si>
    <t>B3_SPORT</t>
  </si>
  <si>
    <t>B4_SPORT</t>
  </si>
  <si>
    <t>B5_SPORT</t>
  </si>
  <si>
    <t>B6_SPORT</t>
  </si>
  <si>
    <t>B1_SKATE</t>
  </si>
  <si>
    <t>B2_SKATE</t>
  </si>
  <si>
    <t>B3_SKATE</t>
  </si>
  <si>
    <t>B4_SKATE</t>
  </si>
  <si>
    <t>B5_SKATE</t>
  </si>
  <si>
    <t>B6_SKATE</t>
  </si>
  <si>
    <t>AFF_TH</t>
  </si>
  <si>
    <t>AFF_POD</t>
  </si>
  <si>
    <t>AFF_REHAB</t>
  </si>
  <si>
    <t>NETZERO</t>
  </si>
  <si>
    <t>PHX_USE</t>
  </si>
  <si>
    <t>PHX_F1RETAIL</t>
  </si>
  <si>
    <t>PHX_F2RESI</t>
  </si>
  <si>
    <t>PHX_F3RESI</t>
  </si>
  <si>
    <t>PHX_F4RESI</t>
  </si>
  <si>
    <t>YDG_F1RETAIL</t>
  </si>
  <si>
    <t>YDG_F2RESI</t>
  </si>
  <si>
    <t>YDG_F3RESI</t>
  </si>
  <si>
    <t>YDG_F4RESI</t>
  </si>
  <si>
    <t>YDG_LIBRARY</t>
  </si>
  <si>
    <t>YDG_COMART</t>
  </si>
  <si>
    <t>YDG_RESILIENCE</t>
  </si>
  <si>
    <t>YDG_COMPUTER</t>
  </si>
  <si>
    <t>YDG_DAYCARE</t>
  </si>
  <si>
    <t>YDG_DRUG</t>
  </si>
  <si>
    <t>YDG_POLICE</t>
  </si>
  <si>
    <t>YDG_PUBHEALTH</t>
  </si>
  <si>
    <t>YDG_SENIOR</t>
  </si>
  <si>
    <t>YDG_SMALLBUSINESS</t>
  </si>
  <si>
    <t>YDG_TEEN</t>
  </si>
  <si>
    <t>YDG_BIKESHARE</t>
  </si>
  <si>
    <t>YDG_ARTISTSTUDIO</t>
  </si>
  <si>
    <t>YDG_UNIVERSITY</t>
  </si>
  <si>
    <t>VIC_F1RETAIL</t>
  </si>
  <si>
    <t>VIC_F2RESI</t>
  </si>
  <si>
    <t>VIC_F3RESI</t>
  </si>
  <si>
    <t>VIC_ARTISTSTUDIOS</t>
  </si>
  <si>
    <t>VIC_UNIVERSITY</t>
  </si>
  <si>
    <t>Building Max</t>
  </si>
  <si>
    <t>Residential Product Type</t>
  </si>
  <si>
    <t>Total Profit Per Unit</t>
  </si>
  <si>
    <t>Total Profit  PSF</t>
  </si>
  <si>
    <t>Office Product Type</t>
  </si>
  <si>
    <t>Total Profit Per SF</t>
  </si>
  <si>
    <t xml:space="preserve">Retail </t>
  </si>
  <si>
    <t>N/a</t>
  </si>
  <si>
    <t xml:space="preserve">Office Profit  Per SF </t>
  </si>
  <si>
    <t>Retail Profit  Per SF</t>
  </si>
  <si>
    <t>Total Profit PSF</t>
  </si>
  <si>
    <t>VICTORIAN ROW  HOTEL REHAB</t>
  </si>
  <si>
    <t>Development Profit</t>
  </si>
  <si>
    <t xml:space="preserve">Development Profit Office  </t>
  </si>
  <si>
    <t>Development Profit Retail</t>
  </si>
  <si>
    <t xml:space="preserve"> Per Unit Sub</t>
  </si>
  <si>
    <t>Account Code</t>
  </si>
  <si>
    <t>Affordable SF</t>
  </si>
  <si>
    <t>Sub  Per Affordable SF</t>
  </si>
  <si>
    <t>Job Creation (Office)</t>
  </si>
  <si>
    <t>Job Creation (Retail)</t>
  </si>
  <si>
    <t>Job Creation (Residential)</t>
  </si>
  <si>
    <t>Demolish</t>
  </si>
  <si>
    <t xml:space="preserve">City Subsidy </t>
  </si>
  <si>
    <t>Residential Construction Subsidy  12%</t>
  </si>
  <si>
    <t>Total/Weighted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</si>
</sst>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0000%"/>
    <numFmt numFmtId="168" formatCode="_(* #,##0.000_);_(* \(#,##0.000\);_(* &quot;-&quot;??_);_(@_)"/>
    <numFmt numFmtId="169" formatCode="_(&quot;$&quot;* #,##0_);_(&quot;$&quot;* \(#,##0\);_(&quot;$&quot;* &quot;-&quot;??_);_(@_)"/>
    <numFmt numFmtId="170" formatCode="0_);\(0\)"/>
    <numFmt numFmtId="171" formatCode="#,##0.0_);\(#,##0.0\)"/>
    <numFmt numFmtId="172" formatCode="_(&quot;$&quot;* #,##0_);[Red]_(&quot;$&quot;* \(#,##0\);_(&quot;$&quot;* &quot;-&quot;??_);_(@_)"/>
    <numFmt numFmtId="173" formatCode="_(* #,##0_);[Red]_(* \(#,##0\);_(* &quot;-&quot;??_);_(@_)"/>
    <numFmt numFmtId="174" formatCode="_(* #,##0.0000_);_(* \(#,##0.0000\);_(* &quot;-&quot;??_);_(@_)"/>
    <numFmt numFmtId="175" formatCode="&quot;$&quot;#,##0"/>
    <numFmt numFmtId="176" formatCode="&quot;$&quot;#,##0.00"/>
    <numFmt numFmtId="177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6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8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66092"/>
        <bgColor rgb="FF36609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66092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50">
    <xf numFmtId="0" fontId="0" fillId="0" borderId="0" xfId="0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164" fontId="0" fillId="0" borderId="0" xfId="1" applyNumberFormat="1" applyFont="1" applyProtection="1"/>
    <xf numFmtId="168" fontId="0" fillId="0" borderId="0" xfId="1" applyNumberFormat="1" applyFont="1" applyProtection="1"/>
    <xf numFmtId="164" fontId="0" fillId="0" borderId="1" xfId="1" applyNumberFormat="1" applyFont="1" applyBorder="1" applyProtection="1"/>
    <xf numFmtId="0" fontId="10" fillId="0" borderId="0" xfId="0" applyFont="1"/>
    <xf numFmtId="0" fontId="10" fillId="0" borderId="2" xfId="0" applyFont="1" applyBorder="1"/>
    <xf numFmtId="43" fontId="0" fillId="0" borderId="0" xfId="1" applyFont="1" applyAlignment="1" applyProtection="1">
      <alignment horizontal="right"/>
    </xf>
    <xf numFmtId="164" fontId="0" fillId="0" borderId="0" xfId="1" applyNumberFormat="1" applyFont="1" applyAlignment="1" applyProtection="1">
      <alignment horizontal="right"/>
    </xf>
    <xf numFmtId="164" fontId="0" fillId="0" borderId="0" xfId="1" applyNumberFormat="1" applyFont="1" applyBorder="1" applyProtection="1"/>
    <xf numFmtId="168" fontId="0" fillId="0" borderId="0" xfId="1" applyNumberFormat="1" applyFont="1" applyBorder="1" applyProtection="1"/>
    <xf numFmtId="0" fontId="10" fillId="0" borderId="1" xfId="0" applyFont="1" applyBorder="1" applyAlignment="1">
      <alignment wrapText="1"/>
    </xf>
    <xf numFmtId="164" fontId="0" fillId="0" borderId="0" xfId="1" applyNumberFormat="1" applyFont="1" applyAlignment="1" applyProtection="1">
      <alignment wrapText="1"/>
    </xf>
    <xf numFmtId="168" fontId="0" fillId="0" borderId="0" xfId="1" applyNumberFormat="1" applyFont="1" applyAlignment="1" applyProtection="1">
      <alignment wrapText="1"/>
    </xf>
    <xf numFmtId="164" fontId="2" fillId="4" borderId="0" xfId="1" applyNumberFormat="1" applyFont="1" applyFill="1" applyAlignment="1" applyProtection="1">
      <alignment wrapText="1"/>
    </xf>
    <xf numFmtId="0" fontId="6" fillId="0" borderId="0" xfId="0" applyFont="1"/>
    <xf numFmtId="164" fontId="8" fillId="0" borderId="0" xfId="1" applyNumberFormat="1" applyFont="1" applyProtection="1"/>
    <xf numFmtId="164" fontId="6" fillId="0" borderId="0" xfId="1" applyNumberFormat="1" applyFont="1" applyProtection="1"/>
    <xf numFmtId="164" fontId="0" fillId="0" borderId="0" xfId="0" applyNumberFormat="1"/>
    <xf numFmtId="43" fontId="2" fillId="4" borderId="0" xfId="1" applyFont="1" applyFill="1" applyAlignment="1" applyProtection="1">
      <alignment wrapText="1"/>
    </xf>
    <xf numFmtId="164" fontId="5" fillId="0" borderId="0" xfId="0" applyNumberFormat="1" applyFont="1"/>
    <xf numFmtId="0" fontId="2" fillId="2" borderId="0" xfId="0" applyFont="1" applyFill="1"/>
    <xf numFmtId="43" fontId="0" fillId="0" borderId="0" xfId="1" applyFont="1" applyProtection="1"/>
    <xf numFmtId="164" fontId="10" fillId="0" borderId="1" xfId="1" applyNumberFormat="1" applyFont="1" applyBorder="1" applyProtection="1"/>
    <xf numFmtId="168" fontId="10" fillId="0" borderId="1" xfId="1" applyNumberFormat="1" applyFont="1" applyBorder="1" applyProtection="1"/>
    <xf numFmtId="9" fontId="8" fillId="0" borderId="0" xfId="0" applyNumberFormat="1" applyFont="1"/>
    <xf numFmtId="0" fontId="10" fillId="0" borderId="1" xfId="0" applyFont="1" applyBorder="1" applyAlignment="1">
      <alignment horizontal="center" wrapText="1"/>
    </xf>
    <xf numFmtId="164" fontId="0" fillId="0" borderId="0" xfId="1" applyNumberFormat="1" applyFont="1" applyAlignment="1" applyProtection="1">
      <alignment horizontal="left" indent="1"/>
    </xf>
    <xf numFmtId="166" fontId="0" fillId="0" borderId="0" xfId="2" applyNumberFormat="1" applyFont="1" applyProtection="1"/>
    <xf numFmtId="164" fontId="10" fillId="0" borderId="2" xfId="0" applyNumberFormat="1" applyFont="1" applyBorder="1"/>
    <xf numFmtId="9" fontId="6" fillId="0" borderId="0" xfId="0" applyNumberFormat="1" applyFont="1"/>
    <xf numFmtId="0" fontId="10" fillId="0" borderId="3" xfId="0" applyFont="1" applyBorder="1"/>
    <xf numFmtId="43" fontId="10" fillId="0" borderId="3" xfId="1" applyFont="1" applyBorder="1" applyAlignment="1" applyProtection="1">
      <alignment horizontal="right"/>
    </xf>
    <xf numFmtId="43" fontId="10" fillId="0" borderId="3" xfId="1" applyFont="1" applyFill="1" applyBorder="1" applyAlignment="1" applyProtection="1">
      <alignment horizontal="right"/>
    </xf>
    <xf numFmtId="164" fontId="10" fillId="0" borderId="0" xfId="0" applyNumberFormat="1" applyFont="1"/>
    <xf numFmtId="0" fontId="2" fillId="12" borderId="0" xfId="0" applyFont="1" applyFill="1"/>
    <xf numFmtId="164" fontId="2" fillId="12" borderId="0" xfId="0" applyNumberFormat="1" applyFont="1" applyFill="1"/>
    <xf numFmtId="164" fontId="7" fillId="12" borderId="0" xfId="1" applyNumberFormat="1" applyFont="1" applyFill="1" applyProtection="1"/>
    <xf numFmtId="0" fontId="7" fillId="12" borderId="0" xfId="0" applyFont="1" applyFill="1"/>
    <xf numFmtId="168" fontId="7" fillId="12" borderId="0" xfId="1" applyNumberFormat="1" applyFont="1" applyFill="1" applyProtection="1"/>
    <xf numFmtId="0" fontId="10" fillId="0" borderId="5" xfId="0" applyFont="1" applyBorder="1" applyAlignment="1">
      <alignment horizontal="center"/>
    </xf>
    <xf numFmtId="168" fontId="0" fillId="5" borderId="1" xfId="1" applyNumberFormat="1" applyFont="1" applyFill="1" applyBorder="1" applyAlignment="1" applyProtection="1">
      <alignment wrapText="1"/>
    </xf>
    <xf numFmtId="168" fontId="0" fillId="0" borderId="1" xfId="1" applyNumberFormat="1" applyFont="1" applyBorder="1" applyProtection="1"/>
    <xf numFmtId="37" fontId="0" fillId="0" borderId="0" xfId="1" applyNumberFormat="1" applyFont="1" applyProtection="1"/>
    <xf numFmtId="37" fontId="5" fillId="0" borderId="0" xfId="1" applyNumberFormat="1" applyFont="1" applyProtection="1"/>
    <xf numFmtId="37" fontId="6" fillId="7" borderId="0" xfId="1" applyNumberFormat="1" applyFont="1" applyFill="1" applyProtection="1"/>
    <xf numFmtId="37" fontId="6" fillId="0" borderId="0" xfId="1" applyNumberFormat="1" applyFont="1" applyProtection="1"/>
    <xf numFmtId="171" fontId="6" fillId="0" borderId="0" xfId="1" applyNumberFormat="1" applyFont="1" applyFill="1" applyProtection="1"/>
    <xf numFmtId="39" fontId="6" fillId="0" borderId="0" xfId="1" applyNumberFormat="1" applyFont="1" applyProtection="1"/>
    <xf numFmtId="169" fontId="8" fillId="0" borderId="0" xfId="6" applyNumberFormat="1" applyFont="1" applyFill="1" applyProtection="1"/>
    <xf numFmtId="10" fontId="8" fillId="0" borderId="0" xfId="0" applyNumberFormat="1" applyFont="1"/>
    <xf numFmtId="164" fontId="10" fillId="0" borderId="0" xfId="1" applyNumberFormat="1" applyFont="1" applyProtection="1"/>
    <xf numFmtId="164" fontId="2" fillId="2" borderId="0" xfId="0" applyNumberFormat="1" applyFont="1" applyFill="1"/>
    <xf numFmtId="168" fontId="10" fillId="0" borderId="0" xfId="1" applyNumberFormat="1" applyFont="1" applyProtection="1"/>
    <xf numFmtId="0" fontId="2" fillId="21" borderId="0" xfId="0" applyFont="1" applyFill="1"/>
    <xf numFmtId="0" fontId="2" fillId="21" borderId="2" xfId="0" applyFont="1" applyFill="1" applyBorder="1"/>
    <xf numFmtId="0" fontId="2" fillId="21" borderId="15" xfId="0" applyFont="1" applyFill="1" applyBorder="1"/>
    <xf numFmtId="0" fontId="10" fillId="0" borderId="10" xfId="0" applyFont="1" applyBorder="1"/>
    <xf numFmtId="164" fontId="0" fillId="18" borderId="18" xfId="1" applyNumberFormat="1" applyFont="1" applyFill="1" applyBorder="1" applyProtection="1"/>
    <xf numFmtId="0" fontId="2" fillId="21" borderId="14" xfId="0" applyFont="1" applyFill="1" applyBorder="1"/>
    <xf numFmtId="0" fontId="10" fillId="0" borderId="5" xfId="0" applyFont="1" applyBorder="1" applyAlignment="1">
      <alignment horizontal="right"/>
    </xf>
    <xf numFmtId="0" fontId="10" fillId="0" borderId="14" xfId="0" applyFont="1" applyBorder="1"/>
    <xf numFmtId="0" fontId="10" fillId="0" borderId="16" xfId="0" applyFont="1" applyBorder="1"/>
    <xf numFmtId="0" fontId="9" fillId="0" borderId="10" xfId="0" applyFont="1" applyBorder="1"/>
    <xf numFmtId="0" fontId="9" fillId="0" borderId="3" xfId="0" applyFont="1" applyBorder="1"/>
    <xf numFmtId="43" fontId="9" fillId="0" borderId="11" xfId="1" applyFont="1" applyFill="1" applyBorder="1" applyAlignment="1" applyProtection="1">
      <alignment horizontal="right"/>
    </xf>
    <xf numFmtId="166" fontId="10" fillId="18" borderId="7" xfId="2" applyNumberFormat="1" applyFont="1" applyFill="1" applyBorder="1" applyProtection="1"/>
    <xf numFmtId="0" fontId="2" fillId="21" borderId="10" xfId="0" applyFont="1" applyFill="1" applyBorder="1"/>
    <xf numFmtId="0" fontId="0" fillId="0" borderId="18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1" xfId="0" applyBorder="1"/>
    <xf numFmtId="37" fontId="10" fillId="0" borderId="11" xfId="1" applyNumberFormat="1" applyFont="1" applyBorder="1" applyProtection="1"/>
    <xf numFmtId="37" fontId="0" fillId="18" borderId="19" xfId="1" applyNumberFormat="1" applyFont="1" applyFill="1" applyBorder="1" applyProtection="1"/>
    <xf numFmtId="37" fontId="8" fillId="22" borderId="19" xfId="1" applyNumberFormat="1" applyFont="1" applyFill="1" applyBorder="1" applyProtection="1">
      <protection locked="0"/>
    </xf>
    <xf numFmtId="0" fontId="2" fillId="21" borderId="3" xfId="0" applyFont="1" applyFill="1" applyBorder="1"/>
    <xf numFmtId="0" fontId="0" fillId="0" borderId="18" xfId="0" applyBorder="1"/>
    <xf numFmtId="37" fontId="8" fillId="22" borderId="18" xfId="1" applyNumberFormat="1" applyFont="1" applyFill="1" applyBorder="1" applyProtection="1">
      <protection locked="0"/>
    </xf>
    <xf numFmtId="37" fontId="10" fillId="0" borderId="10" xfId="1" applyNumberFormat="1" applyFont="1" applyBorder="1" applyProtection="1"/>
    <xf numFmtId="164" fontId="0" fillId="18" borderId="1" xfId="1" applyNumberFormat="1" applyFont="1" applyFill="1" applyBorder="1" applyProtection="1"/>
    <xf numFmtId="37" fontId="10" fillId="0" borderId="16" xfId="1" applyNumberFormat="1" applyFont="1" applyBorder="1" applyProtection="1"/>
    <xf numFmtId="164" fontId="0" fillId="18" borderId="19" xfId="1" applyNumberFormat="1" applyFont="1" applyFill="1" applyBorder="1" applyProtection="1"/>
    <xf numFmtId="164" fontId="0" fillId="18" borderId="16" xfId="1" applyNumberFormat="1" applyFont="1" applyFill="1" applyBorder="1" applyProtection="1"/>
    <xf numFmtId="170" fontId="8" fillId="22" borderId="6" xfId="0" applyNumberFormat="1" applyFont="1" applyFill="1" applyBorder="1" applyAlignment="1" applyProtection="1">
      <alignment horizontal="center"/>
      <protection locked="0"/>
    </xf>
    <xf numFmtId="170" fontId="8" fillId="22" borderId="7" xfId="0" applyNumberFormat="1" applyFont="1" applyFill="1" applyBorder="1" applyAlignment="1" applyProtection="1">
      <alignment horizontal="center"/>
      <protection locked="0"/>
    </xf>
    <xf numFmtId="0" fontId="8" fillId="18" borderId="6" xfId="0" applyFont="1" applyFill="1" applyBorder="1" applyAlignment="1">
      <alignment horizontal="center"/>
    </xf>
    <xf numFmtId="164" fontId="2" fillId="21" borderId="2" xfId="0" applyNumberFormat="1" applyFont="1" applyFill="1" applyBorder="1"/>
    <xf numFmtId="43" fontId="10" fillId="0" borderId="11" xfId="1" applyFont="1" applyFill="1" applyBorder="1" applyAlignment="1" applyProtection="1">
      <alignment horizontal="right"/>
    </xf>
    <xf numFmtId="164" fontId="10" fillId="0" borderId="11" xfId="0" applyNumberFormat="1" applyFont="1" applyBorder="1"/>
    <xf numFmtId="0" fontId="6" fillId="23" borderId="4" xfId="0" applyFont="1" applyFill="1" applyBorder="1" applyAlignment="1">
      <alignment horizontal="center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horizontal="center"/>
    </xf>
    <xf numFmtId="37" fontId="0" fillId="18" borderId="18" xfId="1" applyNumberFormat="1" applyFont="1" applyFill="1" applyBorder="1" applyProtection="1"/>
    <xf numFmtId="37" fontId="10" fillId="0" borderId="17" xfId="1" applyNumberFormat="1" applyFont="1" applyBorder="1" applyProtection="1"/>
    <xf numFmtId="37" fontId="0" fillId="18" borderId="4" xfId="1" applyNumberFormat="1" applyFont="1" applyFill="1" applyBorder="1" applyProtection="1"/>
    <xf numFmtId="37" fontId="0" fillId="18" borderId="6" xfId="1" applyNumberFormat="1" applyFont="1" applyFill="1" applyBorder="1" applyProtection="1"/>
    <xf numFmtId="37" fontId="0" fillId="18" borderId="7" xfId="1" applyNumberFormat="1" applyFont="1" applyFill="1" applyBorder="1" applyProtection="1"/>
    <xf numFmtId="37" fontId="8" fillId="22" borderId="4" xfId="1" applyNumberFormat="1" applyFont="1" applyFill="1" applyBorder="1" applyProtection="1">
      <protection locked="0"/>
    </xf>
    <xf numFmtId="37" fontId="0" fillId="18" borderId="14" xfId="1" applyNumberFormat="1" applyFont="1" applyFill="1" applyBorder="1" applyProtection="1"/>
    <xf numFmtId="37" fontId="0" fillId="18" borderId="15" xfId="1" applyNumberFormat="1" applyFont="1" applyFill="1" applyBorder="1" applyProtection="1"/>
    <xf numFmtId="37" fontId="0" fillId="18" borderId="17" xfId="1" applyNumberFormat="1" applyFont="1" applyFill="1" applyBorder="1" applyProtection="1"/>
    <xf numFmtId="164" fontId="0" fillId="18" borderId="7" xfId="1" applyNumberFormat="1" applyFont="1" applyFill="1" applyBorder="1" applyProtection="1"/>
    <xf numFmtId="37" fontId="10" fillId="0" borderId="5" xfId="1" applyNumberFormat="1" applyFont="1" applyBorder="1" applyProtection="1"/>
    <xf numFmtId="164" fontId="0" fillId="18" borderId="17" xfId="1" applyNumberFormat="1" applyFont="1" applyFill="1" applyBorder="1" applyProtection="1"/>
    <xf numFmtId="164" fontId="0" fillId="18" borderId="6" xfId="1" applyNumberFormat="1" applyFont="1" applyFill="1" applyBorder="1" applyProtection="1"/>
    <xf numFmtId="37" fontId="10" fillId="0" borderId="7" xfId="1" applyNumberFormat="1" applyFont="1" applyBorder="1" applyProtection="1"/>
    <xf numFmtId="164" fontId="0" fillId="18" borderId="4" xfId="1" applyNumberFormat="1" applyFont="1" applyFill="1" applyBorder="1" applyProtection="1"/>
    <xf numFmtId="164" fontId="0" fillId="18" borderId="14" xfId="1" applyNumberFormat="1" applyFont="1" applyFill="1" applyBorder="1" applyProtection="1"/>
    <xf numFmtId="164" fontId="0" fillId="18" borderId="15" xfId="1" applyNumberFormat="1" applyFont="1" applyFill="1" applyBorder="1" applyProtection="1"/>
    <xf numFmtId="37" fontId="8" fillId="22" borderId="16" xfId="1" applyNumberFormat="1" applyFont="1" applyFill="1" applyBorder="1" applyProtection="1">
      <protection locked="0"/>
    </xf>
    <xf numFmtId="170" fontId="8" fillId="22" borderId="4" xfId="0" applyNumberFormat="1" applyFont="1" applyFill="1" applyBorder="1" applyAlignment="1" applyProtection="1">
      <alignment horizontal="center"/>
      <protection locked="0"/>
    </xf>
    <xf numFmtId="0" fontId="8" fillId="18" borderId="7" xfId="0" applyFont="1" applyFill="1" applyBorder="1" applyAlignment="1">
      <alignment horizontal="center"/>
    </xf>
    <xf numFmtId="0" fontId="8" fillId="18" borderId="4" xfId="0" applyFont="1" applyFill="1" applyBorder="1" applyAlignment="1">
      <alignment horizontal="center"/>
    </xf>
    <xf numFmtId="0" fontId="0" fillId="0" borderId="14" xfId="0" applyBorder="1" applyAlignment="1">
      <alignment horizontal="left" indent="1"/>
    </xf>
    <xf numFmtId="164" fontId="2" fillId="21" borderId="15" xfId="0" applyNumberFormat="1" applyFont="1" applyFill="1" applyBorder="1"/>
    <xf numFmtId="0" fontId="6" fillId="18" borderId="6" xfId="0" applyFont="1" applyFill="1" applyBorder="1" applyAlignment="1">
      <alignment horizontal="center"/>
    </xf>
    <xf numFmtId="164" fontId="2" fillId="21" borderId="0" xfId="0" applyNumberFormat="1" applyFont="1" applyFill="1"/>
    <xf numFmtId="164" fontId="10" fillId="0" borderId="3" xfId="0" applyNumberFormat="1" applyFont="1" applyBorder="1"/>
    <xf numFmtId="0" fontId="2" fillId="21" borderId="18" xfId="0" applyFont="1" applyFill="1" applyBorder="1"/>
    <xf numFmtId="164" fontId="0" fillId="18" borderId="2" xfId="1" applyNumberFormat="1" applyFont="1" applyFill="1" applyBorder="1" applyProtection="1"/>
    <xf numFmtId="0" fontId="0" fillId="0" borderId="2" xfId="0" applyBorder="1"/>
    <xf numFmtId="0" fontId="10" fillId="0" borderId="3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2" fillId="21" borderId="11" xfId="0" applyFont="1" applyFill="1" applyBorder="1"/>
    <xf numFmtId="37" fontId="10" fillId="0" borderId="1" xfId="1" applyNumberFormat="1" applyFont="1" applyBorder="1" applyProtection="1"/>
    <xf numFmtId="37" fontId="0" fillId="0" borderId="0" xfId="1" applyNumberFormat="1" applyFont="1" applyAlignment="1" applyProtection="1">
      <alignment horizontal="right"/>
    </xf>
    <xf numFmtId="37" fontId="10" fillId="0" borderId="0" xfId="1" applyNumberFormat="1" applyFont="1" applyProtection="1"/>
    <xf numFmtId="164" fontId="2" fillId="21" borderId="14" xfId="0" applyNumberFormat="1" applyFont="1" applyFill="1" applyBorder="1"/>
    <xf numFmtId="37" fontId="0" fillId="24" borderId="18" xfId="1" applyNumberFormat="1" applyFont="1" applyFill="1" applyBorder="1" applyProtection="1"/>
    <xf numFmtId="37" fontId="0" fillId="24" borderId="0" xfId="1" applyNumberFormat="1" applyFont="1" applyFill="1" applyBorder="1" applyProtection="1"/>
    <xf numFmtId="37" fontId="0" fillId="0" borderId="18" xfId="1" applyNumberFormat="1" applyFont="1" applyBorder="1"/>
    <xf numFmtId="37" fontId="0" fillId="0" borderId="0" xfId="1" applyNumberFormat="1" applyFont="1" applyBorder="1"/>
    <xf numFmtId="37" fontId="0" fillId="0" borderId="18" xfId="1" applyNumberFormat="1" applyFont="1" applyBorder="1" applyAlignment="1" applyProtection="1">
      <alignment horizontal="right"/>
    </xf>
    <xf numFmtId="37" fontId="0" fillId="0" borderId="0" xfId="1" applyNumberFormat="1" applyFont="1" applyBorder="1" applyProtection="1"/>
    <xf numFmtId="37" fontId="0" fillId="0" borderId="18" xfId="1" applyNumberFormat="1" applyFont="1" applyBorder="1" applyProtection="1"/>
    <xf numFmtId="37" fontId="0" fillId="24" borderId="16" xfId="1" applyNumberFormat="1" applyFont="1" applyFill="1" applyBorder="1" applyProtection="1"/>
    <xf numFmtId="37" fontId="0" fillId="24" borderId="1" xfId="1" applyNumberFormat="1" applyFont="1" applyFill="1" applyBorder="1" applyProtection="1"/>
    <xf numFmtId="0" fontId="0" fillId="0" borderId="3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/>
    </xf>
    <xf numFmtId="37" fontId="0" fillId="18" borderId="16" xfId="0" applyNumberFormat="1" applyFill="1" applyBorder="1"/>
    <xf numFmtId="0" fontId="0" fillId="0" borderId="16" xfId="0" applyBorder="1"/>
    <xf numFmtId="0" fontId="0" fillId="0" borderId="14" xfId="0" applyBorder="1"/>
    <xf numFmtId="37" fontId="0" fillId="18" borderId="14" xfId="0" applyNumberFormat="1" applyFill="1" applyBorder="1"/>
    <xf numFmtId="37" fontId="0" fillId="18" borderId="15" xfId="0" applyNumberFormat="1" applyFill="1" applyBorder="1"/>
    <xf numFmtId="37" fontId="0" fillId="18" borderId="6" xfId="0" applyNumberFormat="1" applyFill="1" applyBorder="1"/>
    <xf numFmtId="37" fontId="0" fillId="18" borderId="18" xfId="0" applyNumberFormat="1" applyFill="1" applyBorder="1"/>
    <xf numFmtId="37" fontId="0" fillId="18" borderId="19" xfId="0" applyNumberFormat="1" applyFill="1" applyBorder="1"/>
    <xf numFmtId="37" fontId="0" fillId="18" borderId="7" xfId="0" applyNumberFormat="1" applyFill="1" applyBorder="1"/>
    <xf numFmtId="43" fontId="6" fillId="15" borderId="14" xfId="0" applyNumberFormat="1" applyFont="1" applyFill="1" applyBorder="1" applyAlignment="1">
      <alignment horizontal="left" vertical="center" indent="1"/>
    </xf>
    <xf numFmtId="43" fontId="6" fillId="15" borderId="18" xfId="0" applyNumberFormat="1" applyFont="1" applyFill="1" applyBorder="1" applyAlignment="1">
      <alignment horizontal="left" vertical="center" indent="1"/>
    </xf>
    <xf numFmtId="43" fontId="6" fillId="15" borderId="16" xfId="0" applyNumberFormat="1" applyFont="1" applyFill="1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43" fontId="10" fillId="0" borderId="10" xfId="1" applyFont="1" applyBorder="1" applyAlignment="1" applyProtection="1">
      <alignment horizontal="center" wrapText="1"/>
    </xf>
    <xf numFmtId="43" fontId="10" fillId="0" borderId="3" xfId="1" applyFont="1" applyBorder="1" applyAlignment="1" applyProtection="1">
      <alignment horizontal="center" wrapText="1"/>
    </xf>
    <xf numFmtId="164" fontId="10" fillId="0" borderId="3" xfId="1" applyNumberFormat="1" applyFont="1" applyBorder="1" applyAlignment="1" applyProtection="1">
      <alignment horizontal="center" wrapText="1"/>
    </xf>
    <xf numFmtId="0" fontId="0" fillId="0" borderId="10" xfId="0" applyBorder="1"/>
    <xf numFmtId="170" fontId="6" fillId="24" borderId="5" xfId="1" applyNumberFormat="1" applyFont="1" applyFill="1" applyBorder="1" applyAlignment="1" applyProtection="1">
      <alignment horizontal="center"/>
    </xf>
    <xf numFmtId="0" fontId="10" fillId="0" borderId="16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10" fillId="0" borderId="17" xfId="0" applyFont="1" applyBorder="1" applyAlignment="1">
      <alignment horizontal="center" wrapText="1"/>
    </xf>
    <xf numFmtId="170" fontId="8" fillId="22" borderId="7" xfId="1" applyNumberFormat="1" applyFont="1" applyFill="1" applyBorder="1" applyAlignment="1" applyProtection="1">
      <alignment horizontal="center"/>
      <protection locked="0"/>
    </xf>
    <xf numFmtId="170" fontId="6" fillId="24" borderId="4" xfId="1" applyNumberFormat="1" applyFont="1" applyFill="1" applyBorder="1" applyAlignment="1" applyProtection="1">
      <alignment horizontal="center"/>
    </xf>
    <xf numFmtId="0" fontId="0" fillId="24" borderId="2" xfId="0" applyFill="1" applyBorder="1"/>
    <xf numFmtId="0" fontId="0" fillId="24" borderId="15" xfId="0" applyFill="1" applyBorder="1"/>
    <xf numFmtId="0" fontId="0" fillId="24" borderId="1" xfId="0" applyFill="1" applyBorder="1"/>
    <xf numFmtId="0" fontId="0" fillId="24" borderId="17" xfId="0" applyFill="1" applyBorder="1"/>
    <xf numFmtId="0" fontId="0" fillId="24" borderId="3" xfId="0" applyFill="1" applyBorder="1"/>
    <xf numFmtId="43" fontId="0" fillId="24" borderId="3" xfId="1" applyFont="1" applyFill="1" applyBorder="1" applyAlignment="1" applyProtection="1">
      <alignment horizontal="right"/>
    </xf>
    <xf numFmtId="43" fontId="0" fillId="24" borderId="11" xfId="1" applyFont="1" applyFill="1" applyBorder="1" applyAlignment="1" applyProtection="1">
      <alignment horizontal="right"/>
    </xf>
    <xf numFmtId="0" fontId="0" fillId="0" borderId="14" xfId="0" applyBorder="1" applyAlignment="1">
      <alignment horizontal="left"/>
    </xf>
    <xf numFmtId="0" fontId="11" fillId="18" borderId="2" xfId="0" applyFont="1" applyFill="1" applyBorder="1"/>
    <xf numFmtId="0" fontId="11" fillId="18" borderId="0" xfId="0" applyFont="1" applyFill="1"/>
    <xf numFmtId="0" fontId="11" fillId="18" borderId="1" xfId="0" applyFont="1" applyFill="1" applyBorder="1"/>
    <xf numFmtId="0" fontId="10" fillId="0" borderId="18" xfId="0" applyFont="1" applyBorder="1" applyAlignment="1">
      <alignment horizontal="left"/>
    </xf>
    <xf numFmtId="164" fontId="0" fillId="24" borderId="14" xfId="1" applyNumberFormat="1" applyFont="1" applyFill="1" applyBorder="1" applyProtection="1"/>
    <xf numFmtId="164" fontId="0" fillId="24" borderId="18" xfId="1" applyNumberFormat="1" applyFont="1" applyFill="1" applyBorder="1" applyProtection="1"/>
    <xf numFmtId="164" fontId="10" fillId="24" borderId="10" xfId="1" applyNumberFormat="1" applyFont="1" applyFill="1" applyBorder="1" applyProtection="1"/>
    <xf numFmtId="0" fontId="2" fillId="21" borderId="10" xfId="0" applyFont="1" applyFill="1" applyBorder="1" applyAlignment="1">
      <alignment horizontal="center"/>
    </xf>
    <xf numFmtId="37" fontId="10" fillId="0" borderId="3" xfId="0" applyNumberFormat="1" applyFont="1" applyBorder="1"/>
    <xf numFmtId="9" fontId="8" fillId="22" borderId="4" xfId="0" applyNumberFormat="1" applyFont="1" applyFill="1" applyBorder="1" applyAlignment="1" applyProtection="1">
      <alignment horizontal="center"/>
      <protection locked="0"/>
    </xf>
    <xf numFmtId="9" fontId="8" fillId="22" borderId="6" xfId="0" applyNumberFormat="1" applyFont="1" applyFill="1" applyBorder="1" applyAlignment="1" applyProtection="1">
      <alignment horizontal="center" vertical="center" wrapText="1"/>
      <protection locked="0"/>
    </xf>
    <xf numFmtId="9" fontId="8" fillId="22" borderId="7" xfId="0" applyNumberFormat="1" applyFont="1" applyFill="1" applyBorder="1" applyAlignment="1" applyProtection="1">
      <alignment horizontal="center"/>
      <protection locked="0"/>
    </xf>
    <xf numFmtId="164" fontId="0" fillId="0" borderId="5" xfId="1" applyNumberFormat="1" applyFont="1" applyBorder="1" applyAlignment="1" applyProtection="1">
      <alignment horizontal="center" wrapText="1"/>
    </xf>
    <xf numFmtId="170" fontId="0" fillId="0" borderId="6" xfId="1" applyNumberFormat="1" applyFont="1" applyBorder="1" applyAlignment="1" applyProtection="1">
      <alignment horizontal="center"/>
    </xf>
    <xf numFmtId="170" fontId="0" fillId="0" borderId="7" xfId="1" applyNumberFormat="1" applyFont="1" applyBorder="1" applyAlignment="1" applyProtection="1">
      <alignment horizontal="center"/>
    </xf>
    <xf numFmtId="164" fontId="0" fillId="27" borderId="0" xfId="1" applyNumberFormat="1" applyFont="1" applyFill="1" applyProtection="1"/>
    <xf numFmtId="164" fontId="0" fillId="0" borderId="0" xfId="1" applyNumberFormat="1" applyFont="1" applyFill="1" applyProtection="1"/>
    <xf numFmtId="169" fontId="0" fillId="0" borderId="11" xfId="6" applyNumberFormat="1" applyFont="1" applyBorder="1" applyProtection="1"/>
    <xf numFmtId="0" fontId="0" fillId="0" borderId="19" xfId="0" applyBorder="1"/>
    <xf numFmtId="0" fontId="0" fillId="0" borderId="0" xfId="0" applyAlignment="1">
      <alignment horizontal="right"/>
    </xf>
    <xf numFmtId="0" fontId="0" fillId="18" borderId="0" xfId="0" applyFill="1"/>
    <xf numFmtId="0" fontId="0" fillId="24" borderId="19" xfId="0" applyFill="1" applyBorder="1"/>
    <xf numFmtId="0" fontId="0" fillId="18" borderId="1" xfId="0" applyFill="1" applyBorder="1"/>
    <xf numFmtId="0" fontId="0" fillId="18" borderId="2" xfId="0" applyFill="1" applyBorder="1"/>
    <xf numFmtId="164" fontId="0" fillId="18" borderId="2" xfId="0" applyNumberFormat="1" applyFill="1" applyBorder="1"/>
    <xf numFmtId="164" fontId="0" fillId="18" borderId="15" xfId="0" applyNumberFormat="1" applyFill="1" applyBorder="1"/>
    <xf numFmtId="164" fontId="0" fillId="18" borderId="1" xfId="0" applyNumberFormat="1" applyFill="1" applyBorder="1"/>
    <xf numFmtId="164" fontId="0" fillId="18" borderId="17" xfId="0" applyNumberFormat="1" applyFill="1" applyBorder="1"/>
    <xf numFmtId="0" fontId="10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 indent="1"/>
    </xf>
    <xf numFmtId="0" fontId="13" fillId="28" borderId="6" xfId="0" applyFont="1" applyFill="1" applyBorder="1"/>
    <xf numFmtId="0" fontId="12" fillId="0" borderId="7" xfId="0" applyFont="1" applyBorder="1" applyAlignment="1">
      <alignment horizontal="left" indent="1"/>
    </xf>
    <xf numFmtId="164" fontId="2" fillId="21" borderId="3" xfId="0" applyNumberFormat="1" applyFont="1" applyFill="1" applyBorder="1"/>
    <xf numFmtId="164" fontId="2" fillId="21" borderId="11" xfId="0" applyNumberFormat="1" applyFont="1" applyFill="1" applyBorder="1"/>
    <xf numFmtId="43" fontId="6" fillId="15" borderId="18" xfId="0" applyNumberFormat="1" applyFont="1" applyFill="1" applyBorder="1" applyAlignment="1">
      <alignment horizontal="left" indent="1"/>
    </xf>
    <xf numFmtId="0" fontId="6" fillId="9" borderId="1" xfId="0" applyFont="1" applyFill="1" applyBorder="1" applyAlignment="1">
      <alignment horizontal="center" wrapText="1"/>
    </xf>
    <xf numFmtId="0" fontId="9" fillId="15" borderId="0" xfId="0" applyFont="1" applyFill="1" applyAlignment="1">
      <alignment horizontal="left"/>
    </xf>
    <xf numFmtId="0" fontId="9" fillId="15" borderId="0" xfId="0" applyFont="1" applyFill="1"/>
    <xf numFmtId="169" fontId="9" fillId="15" borderId="0" xfId="0" applyNumberFormat="1" applyFont="1" applyFill="1"/>
    <xf numFmtId="43" fontId="13" fillId="14" borderId="21" xfId="0" applyNumberFormat="1" applyFont="1" applyFill="1" applyBorder="1"/>
    <xf numFmtId="43" fontId="13" fillId="14" borderId="20" xfId="0" applyNumberFormat="1" applyFont="1" applyFill="1" applyBorder="1"/>
    <xf numFmtId="0" fontId="6" fillId="14" borderId="20" xfId="0" applyFont="1" applyFill="1" applyBorder="1"/>
    <xf numFmtId="169" fontId="6" fillId="14" borderId="20" xfId="0" applyNumberFormat="1" applyFont="1" applyFill="1" applyBorder="1"/>
    <xf numFmtId="169" fontId="6" fillId="14" borderId="27" xfId="0" applyNumberFormat="1" applyFont="1" applyFill="1" applyBorder="1"/>
    <xf numFmtId="43" fontId="14" fillId="15" borderId="18" xfId="0" applyNumberFormat="1" applyFont="1" applyFill="1" applyBorder="1"/>
    <xf numFmtId="0" fontId="9" fillId="16" borderId="8" xfId="0" applyFont="1" applyFill="1" applyBorder="1" applyAlignment="1">
      <alignment horizontal="right" wrapText="1"/>
    </xf>
    <xf numFmtId="0" fontId="9" fillId="16" borderId="0" xfId="0" applyFont="1" applyFill="1" applyAlignment="1">
      <alignment horizontal="right" wrapText="1"/>
    </xf>
    <xf numFmtId="169" fontId="9" fillId="16" borderId="0" xfId="0" applyNumberFormat="1" applyFont="1" applyFill="1" applyAlignment="1">
      <alignment horizontal="right" wrapText="1"/>
    </xf>
    <xf numFmtId="169" fontId="9" fillId="16" borderId="9" xfId="0" applyNumberFormat="1" applyFont="1" applyFill="1" applyBorder="1" applyAlignment="1">
      <alignment horizontal="center" wrapText="1"/>
    </xf>
    <xf numFmtId="169" fontId="9" fillId="16" borderId="19" xfId="0" applyNumberFormat="1" applyFont="1" applyFill="1" applyBorder="1" applyAlignment="1">
      <alignment horizontal="center" wrapText="1"/>
    </xf>
    <xf numFmtId="43" fontId="13" fillId="14" borderId="10" xfId="0" applyNumberFormat="1" applyFont="1" applyFill="1" applyBorder="1" applyAlignment="1">
      <alignment wrapText="1"/>
    </xf>
    <xf numFmtId="164" fontId="6" fillId="15" borderId="22" xfId="0" applyNumberFormat="1" applyFont="1" applyFill="1" applyBorder="1" applyAlignment="1">
      <alignment horizontal="center" wrapText="1"/>
    </xf>
    <xf numFmtId="164" fontId="6" fillId="15" borderId="22" xfId="0" applyNumberFormat="1" applyFont="1" applyFill="1" applyBorder="1" applyAlignment="1">
      <alignment horizontal="right"/>
    </xf>
    <xf numFmtId="169" fontId="6" fillId="15" borderId="3" xfId="0" applyNumberFormat="1" applyFont="1" applyFill="1" applyBorder="1" applyAlignment="1">
      <alignment horizontal="right" wrapText="1"/>
    </xf>
    <xf numFmtId="164" fontId="6" fillId="15" borderId="3" xfId="0" applyNumberFormat="1" applyFont="1" applyFill="1" applyBorder="1" applyAlignment="1">
      <alignment horizontal="right"/>
    </xf>
    <xf numFmtId="169" fontId="6" fillId="15" borderId="24" xfId="0" applyNumberFormat="1" applyFont="1" applyFill="1" applyBorder="1" applyAlignment="1">
      <alignment horizontal="right" wrapText="1"/>
    </xf>
    <xf numFmtId="169" fontId="6" fillId="15" borderId="11" xfId="0" applyNumberFormat="1" applyFont="1" applyFill="1" applyBorder="1" applyAlignment="1">
      <alignment horizontal="right" wrapText="1"/>
    </xf>
    <xf numFmtId="43" fontId="6" fillId="15" borderId="4" xfId="0" applyNumberFormat="1" applyFont="1" applyFill="1" applyBorder="1" applyAlignment="1">
      <alignment horizontal="left" indent="1"/>
    </xf>
    <xf numFmtId="164" fontId="6" fillId="19" borderId="14" xfId="1" applyNumberFormat="1" applyFont="1" applyFill="1" applyBorder="1" applyAlignment="1" applyProtection="1">
      <alignment horizontal="right"/>
    </xf>
    <xf numFmtId="164" fontId="6" fillId="19" borderId="2" xfId="1" applyNumberFormat="1" applyFont="1" applyFill="1" applyBorder="1" applyAlignment="1" applyProtection="1">
      <alignment horizontal="right"/>
    </xf>
    <xf numFmtId="169" fontId="0" fillId="18" borderId="0" xfId="6" applyNumberFormat="1" applyFont="1" applyFill="1" applyBorder="1" applyAlignment="1" applyProtection="1"/>
    <xf numFmtId="169" fontId="6" fillId="16" borderId="0" xfId="0" applyNumberFormat="1" applyFont="1" applyFill="1" applyAlignment="1">
      <alignment horizontal="right"/>
    </xf>
    <xf numFmtId="169" fontId="6" fillId="16" borderId="9" xfId="0" applyNumberFormat="1" applyFont="1" applyFill="1" applyBorder="1" applyAlignment="1">
      <alignment horizontal="right"/>
    </xf>
    <xf numFmtId="169" fontId="6" fillId="16" borderId="19" xfId="0" applyNumberFormat="1" applyFont="1" applyFill="1" applyBorder="1" applyAlignment="1">
      <alignment horizontal="right"/>
    </xf>
    <xf numFmtId="43" fontId="6" fillId="15" borderId="6" xfId="0" applyNumberFormat="1" applyFont="1" applyFill="1" applyBorder="1" applyAlignment="1">
      <alignment horizontal="left" indent="1"/>
    </xf>
    <xf numFmtId="164" fontId="6" fillId="19" borderId="18" xfId="1" applyNumberFormat="1" applyFont="1" applyFill="1" applyBorder="1" applyAlignment="1" applyProtection="1">
      <alignment horizontal="right"/>
    </xf>
    <xf numFmtId="164" fontId="6" fillId="19" borderId="0" xfId="1" applyNumberFormat="1" applyFont="1" applyFill="1" applyBorder="1" applyAlignment="1" applyProtection="1">
      <alignment horizontal="right"/>
    </xf>
    <xf numFmtId="164" fontId="6" fillId="17" borderId="18" xfId="1" applyNumberFormat="1" applyFont="1" applyFill="1" applyBorder="1" applyAlignment="1" applyProtection="1">
      <alignment horizontal="left"/>
    </xf>
    <xf numFmtId="164" fontId="6" fillId="17" borderId="0" xfId="1" applyNumberFormat="1" applyFont="1" applyFill="1" applyBorder="1" applyAlignment="1" applyProtection="1">
      <alignment horizontal="left"/>
    </xf>
    <xf numFmtId="164" fontId="6" fillId="17" borderId="16" xfId="1" applyNumberFormat="1" applyFont="1" applyFill="1" applyBorder="1" applyAlignment="1" applyProtection="1">
      <alignment horizontal="left"/>
    </xf>
    <xf numFmtId="164" fontId="6" fillId="17" borderId="1" xfId="1" applyNumberFormat="1" applyFont="1" applyFill="1" applyBorder="1" applyAlignment="1" applyProtection="1">
      <alignment horizontal="left"/>
    </xf>
    <xf numFmtId="43" fontId="13" fillId="14" borderId="10" xfId="0" applyNumberFormat="1" applyFont="1" applyFill="1" applyBorder="1"/>
    <xf numFmtId="43" fontId="13" fillId="14" borderId="3" xfId="0" applyNumberFormat="1" applyFont="1" applyFill="1" applyBorder="1"/>
    <xf numFmtId="169" fontId="6" fillId="15" borderId="3" xfId="0" applyNumberFormat="1" applyFont="1" applyFill="1" applyBorder="1" applyAlignment="1">
      <alignment horizontal="right"/>
    </xf>
    <xf numFmtId="169" fontId="6" fillId="15" borderId="24" xfId="0" applyNumberFormat="1" applyFont="1" applyFill="1" applyBorder="1" applyAlignment="1">
      <alignment horizontal="right"/>
    </xf>
    <xf numFmtId="169" fontId="6" fillId="15" borderId="11" xfId="0" applyNumberFormat="1" applyFont="1" applyFill="1" applyBorder="1" applyAlignment="1">
      <alignment horizontal="right"/>
    </xf>
    <xf numFmtId="43" fontId="6" fillId="15" borderId="0" xfId="0" applyNumberFormat="1" applyFont="1" applyFill="1" applyAlignment="1">
      <alignment horizontal="left"/>
    </xf>
    <xf numFmtId="164" fontId="6" fillId="16" borderId="8" xfId="0" applyNumberFormat="1" applyFont="1" applyFill="1" applyBorder="1" applyAlignment="1">
      <alignment horizontal="right"/>
    </xf>
    <xf numFmtId="164" fontId="6" fillId="16" borderId="0" xfId="0" applyNumberFormat="1" applyFont="1" applyFill="1" applyAlignment="1">
      <alignment horizontal="right"/>
    </xf>
    <xf numFmtId="169" fontId="6" fillId="16" borderId="0" xfId="0" applyNumberFormat="1" applyFont="1" applyFill="1"/>
    <xf numFmtId="49" fontId="13" fillId="14" borderId="10" xfId="1" applyNumberFormat="1" applyFont="1" applyFill="1" applyBorder="1" applyAlignment="1" applyProtection="1"/>
    <xf numFmtId="49" fontId="13" fillId="14" borderId="3" xfId="1" applyNumberFormat="1" applyFont="1" applyFill="1" applyBorder="1" applyAlignment="1" applyProtection="1"/>
    <xf numFmtId="164" fontId="6" fillId="15" borderId="4" xfId="0" applyNumberFormat="1" applyFont="1" applyFill="1" applyBorder="1" applyAlignment="1">
      <alignment horizontal="center" wrapText="1"/>
    </xf>
    <xf numFmtId="164" fontId="6" fillId="15" borderId="23" xfId="0" applyNumberFormat="1" applyFont="1" applyFill="1" applyBorder="1" applyAlignment="1">
      <alignment horizontal="right"/>
    </xf>
    <xf numFmtId="164" fontId="6" fillId="15" borderId="2" xfId="0" applyNumberFormat="1" applyFont="1" applyFill="1" applyBorder="1" applyAlignment="1">
      <alignment horizontal="right"/>
    </xf>
    <xf numFmtId="169" fontId="6" fillId="15" borderId="2" xfId="0" applyNumberFormat="1" applyFont="1" applyFill="1" applyBorder="1" applyAlignment="1">
      <alignment horizontal="right"/>
    </xf>
    <xf numFmtId="43" fontId="6" fillId="26" borderId="4" xfId="0" applyNumberFormat="1" applyFont="1" applyFill="1" applyBorder="1" applyAlignment="1">
      <alignment horizontal="left"/>
    </xf>
    <xf numFmtId="164" fontId="6" fillId="25" borderId="2" xfId="0" applyNumberFormat="1" applyFont="1" applyFill="1" applyBorder="1" applyAlignment="1">
      <alignment horizontal="right"/>
    </xf>
    <xf numFmtId="43" fontId="6" fillId="26" borderId="6" xfId="0" applyNumberFormat="1" applyFont="1" applyFill="1" applyBorder="1" applyAlignment="1">
      <alignment horizontal="left"/>
    </xf>
    <xf numFmtId="164" fontId="6" fillId="25" borderId="0" xfId="0" applyNumberFormat="1" applyFont="1" applyFill="1" applyAlignment="1">
      <alignment horizontal="right"/>
    </xf>
    <xf numFmtId="0" fontId="0" fillId="24" borderId="6" xfId="0" applyFill="1" applyBorder="1"/>
    <xf numFmtId="164" fontId="0" fillId="24" borderId="6" xfId="0" applyNumberFormat="1" applyFill="1" applyBorder="1"/>
    <xf numFmtId="164" fontId="0" fillId="24" borderId="0" xfId="0" applyNumberFormat="1" applyFill="1"/>
    <xf numFmtId="164" fontId="0" fillId="24" borderId="7" xfId="0" applyNumberFormat="1" applyFill="1" applyBorder="1"/>
    <xf numFmtId="164" fontId="0" fillId="24" borderId="1" xfId="0" applyNumberFormat="1" applyFill="1" applyBorder="1"/>
    <xf numFmtId="164" fontId="6" fillId="15" borderId="13" xfId="0" applyNumberFormat="1" applyFont="1" applyFill="1" applyBorder="1" applyAlignment="1">
      <alignment horizontal="right"/>
    </xf>
    <xf numFmtId="164" fontId="6" fillId="15" borderId="1" xfId="0" applyNumberFormat="1" applyFont="1" applyFill="1" applyBorder="1" applyAlignment="1">
      <alignment horizontal="right"/>
    </xf>
    <xf numFmtId="169" fontId="6" fillId="15" borderId="1" xfId="0" applyNumberFormat="1" applyFont="1" applyFill="1" applyBorder="1"/>
    <xf numFmtId="0" fontId="9" fillId="16" borderId="10" xfId="0" applyFont="1" applyFill="1" applyBorder="1" applyAlignment="1">
      <alignment horizontal="right"/>
    </xf>
    <xf numFmtId="0" fontId="9" fillId="16" borderId="3" xfId="0" applyFont="1" applyFill="1" applyBorder="1" applyAlignment="1">
      <alignment horizontal="right"/>
    </xf>
    <xf numFmtId="169" fontId="9" fillId="16" borderId="3" xfId="0" applyNumberFormat="1" applyFont="1" applyFill="1" applyBorder="1" applyAlignment="1">
      <alignment horizontal="right"/>
    </xf>
    <xf numFmtId="0" fontId="6" fillId="15" borderId="0" xfId="0" applyFont="1" applyFill="1"/>
    <xf numFmtId="169" fontId="6" fillId="15" borderId="0" xfId="0" applyNumberFormat="1" applyFont="1" applyFill="1"/>
    <xf numFmtId="0" fontId="12" fillId="0" borderId="0" xfId="0" applyFont="1"/>
    <xf numFmtId="43" fontId="13" fillId="14" borderId="11" xfId="0" applyNumberFormat="1" applyFont="1" applyFill="1" applyBorder="1"/>
    <xf numFmtId="0" fontId="12" fillId="0" borderId="3" xfId="0" applyFont="1" applyBorder="1"/>
    <xf numFmtId="43" fontId="13" fillId="14" borderId="14" xfId="1" applyFont="1" applyFill="1" applyBorder="1" applyAlignment="1" applyProtection="1">
      <alignment horizontal="left"/>
    </xf>
    <xf numFmtId="43" fontId="13" fillId="14" borderId="2" xfId="0" applyNumberFormat="1" applyFont="1" applyFill="1" applyBorder="1"/>
    <xf numFmtId="0" fontId="0" fillId="0" borderId="15" xfId="0" applyBorder="1"/>
    <xf numFmtId="6" fontId="9" fillId="15" borderId="10" xfId="0" applyNumberFormat="1" applyFont="1" applyFill="1" applyBorder="1"/>
    <xf numFmtId="10" fontId="8" fillId="0" borderId="0" xfId="2" applyNumberFormat="1" applyFont="1" applyFill="1" applyProtection="1"/>
    <xf numFmtId="169" fontId="6" fillId="25" borderId="2" xfId="0" applyNumberFormat="1" applyFont="1" applyFill="1" applyBorder="1"/>
    <xf numFmtId="169" fontId="6" fillId="25" borderId="0" xfId="0" applyNumberFormat="1" applyFont="1" applyFill="1"/>
    <xf numFmtId="169" fontId="6" fillId="25" borderId="1" xfId="0" applyNumberFormat="1" applyFont="1" applyFill="1" applyBorder="1" applyAlignment="1">
      <alignment horizontal="right"/>
    </xf>
    <xf numFmtId="169" fontId="6" fillId="14" borderId="2" xfId="0" applyNumberFormat="1" applyFont="1" applyFill="1" applyBorder="1"/>
    <xf numFmtId="169" fontId="9" fillId="16" borderId="4" xfId="0" quotePrefix="1" applyNumberFormat="1" applyFont="1" applyFill="1" applyBorder="1" applyAlignment="1">
      <alignment horizontal="center" wrapText="1"/>
    </xf>
    <xf numFmtId="169" fontId="6" fillId="15" borderId="5" xfId="0" applyNumberFormat="1" applyFont="1" applyFill="1" applyBorder="1" applyAlignment="1">
      <alignment horizontal="right" wrapText="1"/>
    </xf>
    <xf numFmtId="169" fontId="6" fillId="16" borderId="6" xfId="0" applyNumberFormat="1" applyFont="1" applyFill="1" applyBorder="1" applyAlignment="1">
      <alignment horizontal="right"/>
    </xf>
    <xf numFmtId="169" fontId="6" fillId="15" borderId="5" xfId="0" applyNumberFormat="1" applyFont="1" applyFill="1" applyBorder="1" applyAlignment="1">
      <alignment horizontal="right"/>
    </xf>
    <xf numFmtId="0" fontId="0" fillId="0" borderId="18" xfId="0" quotePrefix="1" applyBorder="1" applyAlignment="1">
      <alignment horizontal="left" indent="1"/>
    </xf>
    <xf numFmtId="164" fontId="0" fillId="18" borderId="6" xfId="0" applyNumberFormat="1" applyFill="1" applyBorder="1"/>
    <xf numFmtId="0" fontId="6" fillId="14" borderId="3" xfId="0" applyFont="1" applyFill="1" applyBorder="1" applyAlignment="1">
      <alignment vertical="center"/>
    </xf>
    <xf numFmtId="169" fontId="6" fillId="14" borderId="3" xfId="0" applyNumberFormat="1" applyFont="1" applyFill="1" applyBorder="1" applyAlignment="1">
      <alignment vertical="center"/>
    </xf>
    <xf numFmtId="43" fontId="13" fillId="14" borderId="22" xfId="0" applyNumberFormat="1" applyFont="1" applyFill="1" applyBorder="1" applyAlignment="1">
      <alignment horizontal="center" vertical="center"/>
    </xf>
    <xf numFmtId="43" fontId="13" fillId="14" borderId="3" xfId="0" applyNumberFormat="1" applyFont="1" applyFill="1" applyBorder="1" applyAlignment="1">
      <alignment vertical="center"/>
    </xf>
    <xf numFmtId="43" fontId="6" fillId="15" borderId="4" xfId="0" applyNumberFormat="1" applyFont="1" applyFill="1" applyBorder="1" applyAlignment="1">
      <alignment horizontal="left" vertical="center" indent="1"/>
    </xf>
    <xf numFmtId="164" fontId="6" fillId="16" borderId="14" xfId="0" applyNumberFormat="1" applyFont="1" applyFill="1" applyBorder="1" applyAlignment="1">
      <alignment horizontal="right" vertical="center"/>
    </xf>
    <xf numFmtId="164" fontId="16" fillId="16" borderId="15" xfId="0" applyNumberFormat="1" applyFont="1" applyFill="1" applyBorder="1" applyAlignment="1">
      <alignment horizontal="right" vertical="center"/>
    </xf>
    <xf numFmtId="43" fontId="6" fillId="15" borderId="6" xfId="0" applyNumberFormat="1" applyFont="1" applyFill="1" applyBorder="1" applyAlignment="1">
      <alignment horizontal="left" vertical="center" indent="1"/>
    </xf>
    <xf numFmtId="164" fontId="6" fillId="16" borderId="18" xfId="0" applyNumberFormat="1" applyFont="1" applyFill="1" applyBorder="1" applyAlignment="1">
      <alignment horizontal="right" vertical="center"/>
    </xf>
    <xf numFmtId="164" fontId="16" fillId="16" borderId="19" xfId="0" applyNumberFormat="1" applyFont="1" applyFill="1" applyBorder="1" applyAlignment="1">
      <alignment horizontal="right" vertical="center"/>
    </xf>
    <xf numFmtId="43" fontId="6" fillId="16" borderId="19" xfId="0" applyNumberFormat="1" applyFont="1" applyFill="1" applyBorder="1" applyAlignment="1">
      <alignment horizontal="right" vertical="center"/>
    </xf>
    <xf numFmtId="43" fontId="6" fillId="15" borderId="7" xfId="0" applyNumberFormat="1" applyFont="1" applyFill="1" applyBorder="1" applyAlignment="1">
      <alignment horizontal="left" vertical="center" indent="1"/>
    </xf>
    <xf numFmtId="164" fontId="6" fillId="16" borderId="16" xfId="0" applyNumberFormat="1" applyFont="1" applyFill="1" applyBorder="1" applyAlignment="1">
      <alignment horizontal="right" vertical="center"/>
    </xf>
    <xf numFmtId="164" fontId="16" fillId="16" borderId="9" xfId="0" applyNumberFormat="1" applyFont="1" applyFill="1" applyBorder="1" applyAlignment="1">
      <alignment horizontal="right" vertical="center"/>
    </xf>
    <xf numFmtId="43" fontId="6" fillId="15" borderId="6" xfId="1" applyFont="1" applyFill="1" applyBorder="1" applyAlignment="1">
      <alignment horizontal="left" vertical="center" indent="1"/>
    </xf>
    <xf numFmtId="43" fontId="6" fillId="16" borderId="9" xfId="0" applyNumberFormat="1" applyFont="1" applyFill="1" applyBorder="1" applyAlignment="1">
      <alignment horizontal="right" vertical="center"/>
    </xf>
    <xf numFmtId="43" fontId="13" fillId="14" borderId="11" xfId="0" applyNumberFormat="1" applyFont="1" applyFill="1" applyBorder="1" applyAlignment="1">
      <alignment vertical="center"/>
    </xf>
    <xf numFmtId="164" fontId="6" fillId="16" borderId="8" xfId="0" applyNumberFormat="1" applyFont="1" applyFill="1" applyBorder="1" applyAlignment="1">
      <alignment horizontal="right" vertical="center"/>
    </xf>
    <xf numFmtId="164" fontId="6" fillId="16" borderId="13" xfId="0" applyNumberFormat="1" applyFont="1" applyFill="1" applyBorder="1" applyAlignment="1">
      <alignment horizontal="right" vertical="center"/>
    </xf>
    <xf numFmtId="43" fontId="6" fillId="16" borderId="17" xfId="0" applyNumberFormat="1" applyFont="1" applyFill="1" applyBorder="1" applyAlignment="1">
      <alignment horizontal="right" vertical="center"/>
    </xf>
    <xf numFmtId="164" fontId="6" fillId="16" borderId="25" xfId="0" applyNumberFormat="1" applyFont="1" applyFill="1" applyBorder="1" applyAlignment="1">
      <alignment horizontal="right"/>
    </xf>
    <xf numFmtId="164" fontId="6" fillId="16" borderId="26" xfId="0" applyNumberFormat="1" applyFont="1" applyFill="1" applyBorder="1" applyAlignment="1">
      <alignment horizontal="right"/>
    </xf>
    <xf numFmtId="164" fontId="10" fillId="18" borderId="5" xfId="1" applyNumberFormat="1" applyFont="1" applyFill="1" applyBorder="1" applyProtection="1"/>
    <xf numFmtId="0" fontId="13" fillId="28" borderId="5" xfId="0" applyFont="1" applyFill="1" applyBorder="1"/>
    <xf numFmtId="49" fontId="13" fillId="14" borderId="10" xfId="0" applyNumberFormat="1" applyFont="1" applyFill="1" applyBorder="1" applyAlignment="1">
      <alignment horizontal="left" vertical="center"/>
    </xf>
    <xf numFmtId="49" fontId="13" fillId="14" borderId="10" xfId="0" applyNumberFormat="1" applyFont="1" applyFill="1" applyBorder="1" applyAlignment="1">
      <alignment vertical="center"/>
    </xf>
    <xf numFmtId="49" fontId="13" fillId="14" borderId="10" xfId="0" applyNumberFormat="1" applyFont="1" applyFill="1" applyBorder="1"/>
    <xf numFmtId="164" fontId="0" fillId="18" borderId="7" xfId="1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center"/>
    </xf>
    <xf numFmtId="37" fontId="10" fillId="0" borderId="7" xfId="1" applyNumberFormat="1" applyFont="1" applyBorder="1" applyAlignment="1" applyProtection="1">
      <alignment horizontal="right"/>
    </xf>
    <xf numFmtId="37" fontId="10" fillId="0" borderId="5" xfId="1" applyNumberFormat="1" applyFont="1" applyBorder="1" applyAlignment="1" applyProtection="1">
      <alignment horizontal="right"/>
    </xf>
    <xf numFmtId="0" fontId="17" fillId="0" borderId="0" xfId="0" applyFont="1"/>
    <xf numFmtId="0" fontId="18" fillId="0" borderId="1" xfId="0" applyFont="1" applyBorder="1"/>
    <xf numFmtId="0" fontId="10" fillId="0" borderId="10" xfId="0" applyFont="1" applyBorder="1" applyAlignment="1">
      <alignment horizontal="left"/>
    </xf>
    <xf numFmtId="0" fontId="2" fillId="21" borderId="5" xfId="0" applyFont="1" applyFill="1" applyBorder="1"/>
    <xf numFmtId="0" fontId="2" fillId="21" borderId="11" xfId="0" applyFont="1" applyFill="1" applyBorder="1" applyAlignment="1">
      <alignment horizontal="center"/>
    </xf>
    <xf numFmtId="0" fontId="19" fillId="0" borderId="0" xfId="0" quotePrefix="1" applyFont="1"/>
    <xf numFmtId="0" fontId="18" fillId="0" borderId="0" xfId="0" applyFont="1"/>
    <xf numFmtId="164" fontId="0" fillId="18" borderId="18" xfId="0" applyNumberFormat="1" applyFill="1" applyBorder="1"/>
    <xf numFmtId="9" fontId="6" fillId="18" borderId="19" xfId="0" applyNumberFormat="1" applyFont="1" applyFill="1" applyBorder="1"/>
    <xf numFmtId="164" fontId="10" fillId="18" borderId="10" xfId="0" applyNumberFormat="1" applyFont="1" applyFill="1" applyBorder="1"/>
    <xf numFmtId="9" fontId="10" fillId="18" borderId="11" xfId="2" applyFont="1" applyFill="1" applyBorder="1" applyProtection="1"/>
    <xf numFmtId="9" fontId="6" fillId="18" borderId="15" xfId="0" applyNumberFormat="1" applyFont="1" applyFill="1" applyBorder="1"/>
    <xf numFmtId="9" fontId="6" fillId="18" borderId="17" xfId="0" applyNumberFormat="1" applyFont="1" applyFill="1" applyBorder="1"/>
    <xf numFmtId="9" fontId="9" fillId="18" borderId="11" xfId="0" applyNumberFormat="1" applyFont="1" applyFill="1" applyBorder="1"/>
    <xf numFmtId="164" fontId="0" fillId="18" borderId="14" xfId="0" applyNumberFormat="1" applyFill="1" applyBorder="1"/>
    <xf numFmtId="164" fontId="0" fillId="18" borderId="16" xfId="0" applyNumberFormat="1" applyFill="1" applyBorder="1"/>
    <xf numFmtId="9" fontId="0" fillId="0" borderId="0" xfId="2" applyFont="1" applyProtection="1"/>
    <xf numFmtId="0" fontId="0" fillId="0" borderId="0" xfId="0" quotePrefix="1"/>
    <xf numFmtId="0" fontId="10" fillId="24" borderId="0" xfId="0" applyFont="1" applyFill="1"/>
    <xf numFmtId="0" fontId="0" fillId="0" borderId="17" xfId="0" applyBorder="1"/>
    <xf numFmtId="0" fontId="17" fillId="0" borderId="4" xfId="0" applyFont="1" applyBorder="1"/>
    <xf numFmtId="0" fontId="17" fillId="0" borderId="7" xfId="0" applyFont="1" applyBorder="1"/>
    <xf numFmtId="9" fontId="8" fillId="22" borderId="14" xfId="0" applyNumberFormat="1" applyFont="1" applyFill="1" applyBorder="1" applyAlignment="1" applyProtection="1">
      <alignment horizontal="left"/>
      <protection locked="0"/>
    </xf>
    <xf numFmtId="37" fontId="8" fillId="22" borderId="18" xfId="1" applyNumberFormat="1" applyFont="1" applyFill="1" applyBorder="1" applyAlignment="1" applyProtection="1">
      <alignment horizontal="left"/>
      <protection locked="0"/>
    </xf>
    <xf numFmtId="9" fontId="8" fillId="22" borderId="16" xfId="0" applyNumberFormat="1" applyFont="1" applyFill="1" applyBorder="1" applyAlignment="1" applyProtection="1">
      <alignment horizontal="left"/>
      <protection locked="0"/>
    </xf>
    <xf numFmtId="172" fontId="10" fillId="18" borderId="4" xfId="6" applyNumberFormat="1" applyFont="1" applyFill="1" applyBorder="1" applyProtection="1"/>
    <xf numFmtId="172" fontId="0" fillId="18" borderId="4" xfId="6" applyNumberFormat="1" applyFont="1" applyFill="1" applyBorder="1" applyProtection="1"/>
    <xf numFmtId="173" fontId="0" fillId="18" borderId="6" xfId="1" applyNumberFormat="1" applyFont="1" applyFill="1" applyBorder="1" applyProtection="1"/>
    <xf numFmtId="172" fontId="10" fillId="18" borderId="5" xfId="6" applyNumberFormat="1" applyFont="1" applyFill="1" applyBorder="1" applyProtection="1"/>
    <xf numFmtId="173" fontId="0" fillId="18" borderId="6" xfId="0" applyNumberFormat="1" applyFill="1" applyBorder="1"/>
    <xf numFmtId="172" fontId="6" fillId="16" borderId="6" xfId="0" applyNumberFormat="1" applyFont="1" applyFill="1" applyBorder="1" applyAlignment="1">
      <alignment horizontal="right"/>
    </xf>
    <xf numFmtId="172" fontId="6" fillId="16" borderId="9" xfId="0" applyNumberFormat="1" applyFont="1" applyFill="1" applyBorder="1" applyAlignment="1">
      <alignment horizontal="right"/>
    </xf>
    <xf numFmtId="172" fontId="6" fillId="16" borderId="19" xfId="0" applyNumberFormat="1" applyFont="1" applyFill="1" applyBorder="1" applyAlignment="1">
      <alignment horizontal="right"/>
    </xf>
    <xf numFmtId="172" fontId="9" fillId="16" borderId="24" xfId="0" applyNumberFormat="1" applyFont="1" applyFill="1" applyBorder="1" applyAlignment="1">
      <alignment horizontal="right"/>
    </xf>
    <xf numFmtId="172" fontId="9" fillId="16" borderId="11" xfId="0" applyNumberFormat="1" applyFont="1" applyFill="1" applyBorder="1" applyAlignment="1">
      <alignment horizontal="right"/>
    </xf>
    <xf numFmtId="172" fontId="9" fillId="16" borderId="5" xfId="0" applyNumberFormat="1" applyFont="1" applyFill="1" applyBorder="1" applyAlignment="1">
      <alignment horizontal="right"/>
    </xf>
    <xf numFmtId="172" fontId="0" fillId="29" borderId="15" xfId="0" applyNumberFormat="1" applyFill="1" applyBorder="1"/>
    <xf numFmtId="172" fontId="6" fillId="16" borderId="6" xfId="0" applyNumberFormat="1" applyFont="1" applyFill="1" applyBorder="1"/>
    <xf numFmtId="172" fontId="6" fillId="16" borderId="5" xfId="0" applyNumberFormat="1" applyFont="1" applyFill="1" applyBorder="1"/>
    <xf numFmtId="172" fontId="6" fillId="30" borderId="4" xfId="6" applyNumberFormat="1" applyFont="1" applyFill="1" applyBorder="1" applyAlignment="1" applyProtection="1"/>
    <xf numFmtId="172" fontId="12" fillId="29" borderId="6" xfId="6" applyNumberFormat="1" applyFont="1" applyFill="1" applyBorder="1" applyAlignment="1" applyProtection="1"/>
    <xf numFmtId="172" fontId="12" fillId="29" borderId="7" xfId="6" applyNumberFormat="1" applyFont="1" applyFill="1" applyBorder="1" applyAlignment="1" applyProtection="1"/>
    <xf numFmtId="172" fontId="10" fillId="29" borderId="5" xfId="0" applyNumberFormat="1" applyFont="1" applyFill="1" applyBorder="1"/>
    <xf numFmtId="172" fontId="15" fillId="29" borderId="5" xfId="6" applyNumberFormat="1" applyFont="1" applyFill="1" applyBorder="1" applyAlignment="1" applyProtection="1"/>
    <xf numFmtId="164" fontId="0" fillId="0" borderId="0" xfId="1" applyNumberFormat="1" applyFont="1" applyProtection="1">
      <protection locked="0"/>
    </xf>
    <xf numFmtId="9" fontId="8" fillId="22" borderId="15" xfId="0" applyNumberFormat="1" applyFont="1" applyFill="1" applyBorder="1" applyAlignment="1">
      <alignment horizontal="center"/>
    </xf>
    <xf numFmtId="9" fontId="8" fillId="22" borderId="19" xfId="0" applyNumberFormat="1" applyFont="1" applyFill="1" applyBorder="1" applyAlignment="1">
      <alignment horizontal="center"/>
    </xf>
    <xf numFmtId="9" fontId="8" fillId="22" borderId="17" xfId="0" applyNumberFormat="1" applyFont="1" applyFill="1" applyBorder="1" applyAlignment="1">
      <alignment horizontal="center"/>
    </xf>
    <xf numFmtId="166" fontId="0" fillId="8" borderId="29" xfId="2" applyNumberFormat="1" applyFont="1" applyFill="1" applyBorder="1" applyProtection="1">
      <protection locked="0"/>
    </xf>
    <xf numFmtId="9" fontId="0" fillId="8" borderId="29" xfId="2" applyFont="1" applyFill="1" applyBorder="1" applyProtection="1">
      <protection locked="0"/>
    </xf>
    <xf numFmtId="37" fontId="0" fillId="8" borderId="29" xfId="1" applyNumberFormat="1" applyFont="1" applyFill="1" applyBorder="1" applyProtection="1"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37" fontId="0" fillId="8" borderId="30" xfId="1" applyNumberFormat="1" applyFont="1" applyFill="1" applyBorder="1" applyAlignment="1" applyProtection="1">
      <alignment horizontal="right"/>
      <protection locked="0"/>
    </xf>
    <xf numFmtId="9" fontId="0" fillId="24" borderId="15" xfId="2" applyFont="1" applyFill="1" applyBorder="1" applyProtection="1"/>
    <xf numFmtId="9" fontId="0" fillId="24" borderId="19" xfId="2" applyFont="1" applyFill="1" applyBorder="1" applyProtection="1"/>
    <xf numFmtId="9" fontId="0" fillId="24" borderId="11" xfId="2" applyFont="1" applyFill="1" applyBorder="1" applyProtection="1"/>
    <xf numFmtId="37" fontId="0" fillId="18" borderId="17" xfId="0" applyNumberFormat="1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37" fontId="0" fillId="0" borderId="10" xfId="0" applyNumberFormat="1" applyBorder="1"/>
    <xf numFmtId="169" fontId="0" fillId="0" borderId="4" xfId="6" applyNumberFormat="1" applyFont="1" applyBorder="1" applyProtection="1"/>
    <xf numFmtId="169" fontId="0" fillId="0" borderId="7" xfId="6" applyNumberFormat="1" applyFont="1" applyBorder="1" applyProtection="1"/>
    <xf numFmtId="164" fontId="10" fillId="18" borderId="5" xfId="0" applyNumberFormat="1" applyFont="1" applyFill="1" applyBorder="1"/>
    <xf numFmtId="169" fontId="0" fillId="0" borderId="0" xfId="0" applyNumberFormat="1"/>
    <xf numFmtId="169" fontId="0" fillId="0" borderId="0" xfId="0" applyNumberFormat="1" applyAlignment="1">
      <alignment wrapText="1"/>
    </xf>
    <xf numFmtId="169" fontId="9" fillId="16" borderId="8" xfId="0" applyNumberFormat="1" applyFont="1" applyFill="1" applyBorder="1" applyAlignment="1">
      <alignment horizontal="center"/>
    </xf>
    <xf numFmtId="9" fontId="9" fillId="16" borderId="0" xfId="0" applyNumberFormat="1" applyFont="1" applyFill="1" applyAlignment="1">
      <alignment horizontal="center" wrapText="1"/>
    </xf>
    <xf numFmtId="169" fontId="6" fillId="15" borderId="22" xfId="0" applyNumberFormat="1" applyFont="1" applyFill="1" applyBorder="1" applyAlignment="1">
      <alignment wrapText="1"/>
    </xf>
    <xf numFmtId="9" fontId="6" fillId="15" borderId="3" xfId="0" applyNumberFormat="1" applyFont="1" applyFill="1" applyBorder="1" applyAlignment="1">
      <alignment wrapText="1"/>
    </xf>
    <xf numFmtId="169" fontId="6" fillId="15" borderId="11" xfId="0" applyNumberFormat="1" applyFont="1" applyFill="1" applyBorder="1" applyAlignment="1">
      <alignment wrapText="1"/>
    </xf>
    <xf numFmtId="169" fontId="6" fillId="16" borderId="8" xfId="0" applyNumberFormat="1" applyFont="1" applyFill="1" applyBorder="1" applyAlignment="1">
      <alignment horizontal="right"/>
    </xf>
    <xf numFmtId="9" fontId="6" fillId="16" borderId="0" xfId="0" applyNumberFormat="1" applyFont="1" applyFill="1"/>
    <xf numFmtId="169" fontId="6" fillId="16" borderId="19" xfId="0" applyNumberFormat="1" applyFont="1" applyFill="1" applyBorder="1"/>
    <xf numFmtId="169" fontId="6" fillId="15" borderId="22" xfId="0" applyNumberFormat="1" applyFont="1" applyFill="1" applyBorder="1" applyAlignment="1">
      <alignment horizontal="right"/>
    </xf>
    <xf numFmtId="9" fontId="6" fillId="15" borderId="3" xfId="0" applyNumberFormat="1" applyFont="1" applyFill="1" applyBorder="1"/>
    <xf numFmtId="169" fontId="6" fillId="15" borderId="11" xfId="0" applyNumberFormat="1" applyFont="1" applyFill="1" applyBorder="1"/>
    <xf numFmtId="169" fontId="6" fillId="16" borderId="8" xfId="0" applyNumberFormat="1" applyFont="1" applyFill="1" applyBorder="1"/>
    <xf numFmtId="49" fontId="13" fillId="14" borderId="3" xfId="1" applyNumberFormat="1" applyFont="1" applyFill="1" applyBorder="1" applyAlignment="1" applyProtection="1">
      <alignment wrapText="1"/>
    </xf>
    <xf numFmtId="169" fontId="6" fillId="15" borderId="3" xfId="0" applyNumberFormat="1" applyFont="1" applyFill="1" applyBorder="1"/>
    <xf numFmtId="169" fontId="6" fillId="15" borderId="22" xfId="0" applyNumberFormat="1" applyFont="1" applyFill="1" applyBorder="1"/>
    <xf numFmtId="164" fontId="6" fillId="16" borderId="13" xfId="0" applyNumberFormat="1" applyFont="1" applyFill="1" applyBorder="1" applyAlignment="1">
      <alignment horizontal="right"/>
    </xf>
    <xf numFmtId="169" fontId="6" fillId="16" borderId="1" xfId="0" applyNumberFormat="1" applyFont="1" applyFill="1" applyBorder="1" applyAlignment="1">
      <alignment horizontal="right"/>
    </xf>
    <xf numFmtId="169" fontId="6" fillId="16" borderId="13" xfId="0" applyNumberFormat="1" applyFont="1" applyFill="1" applyBorder="1" applyAlignment="1">
      <alignment horizontal="right"/>
    </xf>
    <xf numFmtId="169" fontId="6" fillId="16" borderId="12" xfId="0" applyNumberFormat="1" applyFont="1" applyFill="1" applyBorder="1" applyAlignment="1">
      <alignment horizontal="right"/>
    </xf>
    <xf numFmtId="9" fontId="6" fillId="16" borderId="1" xfId="0" applyNumberFormat="1" applyFont="1" applyFill="1" applyBorder="1"/>
    <xf numFmtId="169" fontId="6" fillId="16" borderId="17" xfId="0" applyNumberFormat="1" applyFont="1" applyFill="1" applyBorder="1"/>
    <xf numFmtId="164" fontId="9" fillId="16" borderId="13" xfId="0" applyNumberFormat="1" applyFont="1" applyFill="1" applyBorder="1" applyAlignment="1">
      <alignment horizontal="right"/>
    </xf>
    <xf numFmtId="169" fontId="9" fillId="16" borderId="1" xfId="0" applyNumberFormat="1" applyFont="1" applyFill="1" applyBorder="1" applyAlignment="1">
      <alignment horizontal="right"/>
    </xf>
    <xf numFmtId="169" fontId="9" fillId="16" borderId="13" xfId="0" applyNumberFormat="1" applyFont="1" applyFill="1" applyBorder="1" applyAlignment="1">
      <alignment horizontal="right"/>
    </xf>
    <xf numFmtId="169" fontId="9" fillId="16" borderId="12" xfId="0" applyNumberFormat="1" applyFont="1" applyFill="1" applyBorder="1" applyAlignment="1">
      <alignment horizontal="right"/>
    </xf>
    <xf numFmtId="9" fontId="9" fillId="16" borderId="1" xfId="0" applyNumberFormat="1" applyFont="1" applyFill="1" applyBorder="1"/>
    <xf numFmtId="169" fontId="9" fillId="16" borderId="17" xfId="0" applyNumberFormat="1" applyFont="1" applyFill="1" applyBorder="1"/>
    <xf numFmtId="43" fontId="13" fillId="14" borderId="14" xfId="0" applyNumberFormat="1" applyFont="1" applyFill="1" applyBorder="1"/>
    <xf numFmtId="164" fontId="6" fillId="15" borderId="23" xfId="0" applyNumberFormat="1" applyFont="1" applyFill="1" applyBorder="1" applyAlignment="1">
      <alignment horizontal="center" wrapText="1"/>
    </xf>
    <xf numFmtId="43" fontId="6" fillId="0" borderId="14" xfId="0" applyNumberFormat="1" applyFont="1" applyBorder="1" applyAlignment="1">
      <alignment horizontal="left" indent="1"/>
    </xf>
    <xf numFmtId="164" fontId="6" fillId="0" borderId="2" xfId="1" applyNumberFormat="1" applyFont="1" applyFill="1" applyBorder="1" applyAlignment="1" applyProtection="1">
      <alignment horizontal="left"/>
    </xf>
    <xf numFmtId="164" fontId="0" fillId="24" borderId="4" xfId="0" applyNumberFormat="1" applyFill="1" applyBorder="1"/>
    <xf numFmtId="164" fontId="0" fillId="24" borderId="2" xfId="0" applyNumberFormat="1" applyFill="1" applyBorder="1"/>
    <xf numFmtId="169" fontId="6" fillId="25" borderId="15" xfId="0" applyNumberFormat="1" applyFont="1" applyFill="1" applyBorder="1"/>
    <xf numFmtId="9" fontId="16" fillId="16" borderId="0" xfId="0" applyNumberFormat="1" applyFont="1" applyFill="1"/>
    <xf numFmtId="43" fontId="6" fillId="0" borderId="18" xfId="0" applyNumberFormat="1" applyFont="1" applyBorder="1" applyAlignment="1">
      <alignment horizontal="left" indent="1"/>
    </xf>
    <xf numFmtId="164" fontId="6" fillId="0" borderId="0" xfId="1" applyNumberFormat="1" applyFont="1" applyFill="1" applyBorder="1" applyAlignment="1" applyProtection="1">
      <alignment horizontal="left"/>
    </xf>
    <xf numFmtId="169" fontId="6" fillId="25" borderId="19" xfId="0" applyNumberFormat="1" applyFont="1" applyFill="1" applyBorder="1" applyAlignment="1">
      <alignment horizontal="right"/>
    </xf>
    <xf numFmtId="43" fontId="6" fillId="15" borderId="16" xfId="0" applyNumberFormat="1" applyFont="1" applyFill="1" applyBorder="1" applyAlignment="1">
      <alignment horizontal="left" indent="1"/>
    </xf>
    <xf numFmtId="43" fontId="6" fillId="15" borderId="1" xfId="0" applyNumberFormat="1" applyFont="1" applyFill="1" applyBorder="1" applyAlignment="1">
      <alignment horizontal="left"/>
    </xf>
    <xf numFmtId="43" fontId="6" fillId="26" borderId="7" xfId="0" applyNumberFormat="1" applyFont="1" applyFill="1" applyBorder="1" applyAlignment="1">
      <alignment horizontal="left"/>
    </xf>
    <xf numFmtId="164" fontId="6" fillId="25" borderId="1" xfId="0" applyNumberFormat="1" applyFont="1" applyFill="1" applyBorder="1" applyAlignment="1">
      <alignment horizontal="right"/>
    </xf>
    <xf numFmtId="169" fontId="6" fillId="25" borderId="17" xfId="0" applyNumberFormat="1" applyFont="1" applyFill="1" applyBorder="1"/>
    <xf numFmtId="164" fontId="6" fillId="16" borderId="3" xfId="0" applyNumberFormat="1" applyFont="1" applyFill="1" applyBorder="1" applyAlignment="1">
      <alignment horizontal="right"/>
    </xf>
    <xf numFmtId="169" fontId="6" fillId="16" borderId="3" xfId="0" applyNumberFormat="1" applyFont="1" applyFill="1" applyBorder="1" applyAlignment="1">
      <alignment horizontal="right"/>
    </xf>
    <xf numFmtId="169" fontId="6" fillId="16" borderId="22" xfId="0" applyNumberFormat="1" applyFont="1" applyFill="1" applyBorder="1" applyAlignment="1">
      <alignment horizontal="right"/>
    </xf>
    <xf numFmtId="169" fontId="6" fillId="16" borderId="24" xfId="0" applyNumberFormat="1" applyFont="1" applyFill="1" applyBorder="1" applyAlignment="1">
      <alignment horizontal="right"/>
    </xf>
    <xf numFmtId="9" fontId="6" fillId="16" borderId="3" xfId="0" applyNumberFormat="1" applyFont="1" applyFill="1" applyBorder="1"/>
    <xf numFmtId="169" fontId="6" fillId="16" borderId="11" xfId="0" applyNumberFormat="1" applyFont="1" applyFill="1" applyBorder="1"/>
    <xf numFmtId="0" fontId="0" fillId="0" borderId="3" xfId="0" applyBorder="1" applyAlignment="1">
      <alignment horizontal="center" wrapText="1"/>
    </xf>
    <xf numFmtId="169" fontId="9" fillId="0" borderId="0" xfId="0" applyNumberFormat="1" applyFont="1" applyAlignment="1">
      <alignment horizontal="right" wrapText="1"/>
    </xf>
    <xf numFmtId="43" fontId="9" fillId="15" borderId="14" xfId="0" applyNumberFormat="1" applyFont="1" applyFill="1" applyBorder="1"/>
    <xf numFmtId="164" fontId="9" fillId="19" borderId="2" xfId="0" applyNumberFormat="1" applyFont="1" applyFill="1" applyBorder="1" applyAlignment="1">
      <alignment horizontal="right"/>
    </xf>
    <xf numFmtId="43" fontId="9" fillId="15" borderId="18" xfId="0" applyNumberFormat="1" applyFont="1" applyFill="1" applyBorder="1"/>
    <xf numFmtId="164" fontId="9" fillId="19" borderId="0" xfId="0" applyNumberFormat="1" applyFont="1" applyFill="1" applyAlignment="1">
      <alignment horizontal="right"/>
    </xf>
    <xf numFmtId="43" fontId="15" fillId="0" borderId="16" xfId="1" applyFont="1" applyBorder="1" applyAlignment="1" applyProtection="1"/>
    <xf numFmtId="0" fontId="15" fillId="18" borderId="1" xfId="0" applyFont="1" applyFill="1" applyBorder="1"/>
    <xf numFmtId="164" fontId="15" fillId="18" borderId="17" xfId="0" applyNumberFormat="1" applyFont="1" applyFill="1" applyBorder="1"/>
    <xf numFmtId="0" fontId="15" fillId="0" borderId="10" xfId="0" applyFont="1" applyBorder="1"/>
    <xf numFmtId="0" fontId="15" fillId="0" borderId="3" xfId="0" applyFont="1" applyBorder="1"/>
    <xf numFmtId="169" fontId="9" fillId="16" borderId="5" xfId="0" applyNumberFormat="1" applyFont="1" applyFill="1" applyBorder="1"/>
    <xf numFmtId="0" fontId="9" fillId="15" borderId="0" xfId="0" applyFont="1" applyFill="1" applyAlignment="1">
      <alignment vertical="center"/>
    </xf>
    <xf numFmtId="164" fontId="9" fillId="15" borderId="0" xfId="0" applyNumberFormat="1" applyFont="1" applyFill="1" applyAlignment="1">
      <alignment vertical="center"/>
    </xf>
    <xf numFmtId="169" fontId="9" fillId="15" borderId="0" xfId="0" applyNumberFormat="1" applyFont="1" applyFill="1" applyAlignment="1">
      <alignment vertical="center"/>
    </xf>
    <xf numFmtId="43" fontId="13" fillId="14" borderId="10" xfId="0" applyNumberFormat="1" applyFont="1" applyFill="1" applyBorder="1" applyAlignment="1">
      <alignment vertical="center"/>
    </xf>
    <xf numFmtId="43" fontId="6" fillId="15" borderId="18" xfId="0" applyNumberFormat="1" applyFont="1" applyFill="1" applyBorder="1" applyAlignment="1">
      <alignment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43" fontId="13" fillId="14" borderId="3" xfId="0" applyNumberFormat="1" applyFont="1" applyFill="1" applyBorder="1" applyAlignment="1">
      <alignment horizontal="center" vertical="center"/>
    </xf>
    <xf numFmtId="164" fontId="6" fillId="16" borderId="2" xfId="0" applyNumberFormat="1" applyFont="1" applyFill="1" applyBorder="1" applyAlignment="1">
      <alignment horizontal="right" vertical="center"/>
    </xf>
    <xf numFmtId="43" fontId="16" fillId="16" borderId="14" xfId="0" applyNumberFormat="1" applyFont="1" applyFill="1" applyBorder="1" applyAlignment="1">
      <alignment horizontal="right" vertical="center"/>
    </xf>
    <xf numFmtId="164" fontId="6" fillId="16" borderId="0" xfId="0" applyNumberFormat="1" applyFont="1" applyFill="1" applyAlignment="1">
      <alignment horizontal="right" vertical="center"/>
    </xf>
    <xf numFmtId="43" fontId="16" fillId="16" borderId="18" xfId="0" applyNumberFormat="1" applyFont="1" applyFill="1" applyBorder="1" applyAlignment="1">
      <alignment horizontal="right" vertical="center"/>
    </xf>
    <xf numFmtId="164" fontId="8" fillId="16" borderId="19" xfId="0" applyNumberFormat="1" applyFont="1" applyFill="1" applyBorder="1" applyAlignment="1">
      <alignment horizontal="right" vertical="center"/>
    </xf>
    <xf numFmtId="43" fontId="6" fillId="16" borderId="18" xfId="0" applyNumberFormat="1" applyFont="1" applyFill="1" applyBorder="1" applyAlignment="1">
      <alignment horizontal="right" vertical="center"/>
    </xf>
    <xf numFmtId="164" fontId="6" fillId="16" borderId="1" xfId="0" applyNumberFormat="1" applyFont="1" applyFill="1" applyBorder="1" applyAlignment="1">
      <alignment horizontal="right" vertical="center"/>
    </xf>
    <xf numFmtId="164" fontId="8" fillId="16" borderId="17" xfId="0" applyNumberFormat="1" applyFont="1" applyFill="1" applyBorder="1" applyAlignment="1">
      <alignment horizontal="right" vertical="center"/>
    </xf>
    <xf numFmtId="43" fontId="6" fillId="16" borderId="16" xfId="0" applyNumberFormat="1" applyFont="1" applyFill="1" applyBorder="1" applyAlignment="1">
      <alignment horizontal="right" vertical="center"/>
    </xf>
    <xf numFmtId="43" fontId="6" fillId="16" borderId="12" xfId="0" applyNumberFormat="1" applyFont="1" applyFill="1" applyBorder="1" applyAlignment="1">
      <alignment horizontal="right" vertical="center"/>
    </xf>
    <xf numFmtId="43" fontId="16" fillId="16" borderId="8" xfId="0" applyNumberFormat="1" applyFont="1" applyFill="1" applyBorder="1" applyAlignment="1">
      <alignment horizontal="right" vertical="center"/>
    </xf>
    <xf numFmtId="164" fontId="8" fillId="16" borderId="9" xfId="0" applyNumberFormat="1" applyFont="1" applyFill="1" applyBorder="1" applyAlignment="1">
      <alignment horizontal="right" vertical="center"/>
    </xf>
    <xf numFmtId="43" fontId="6" fillId="16" borderId="8" xfId="0" applyNumberFormat="1" applyFont="1" applyFill="1" applyBorder="1" applyAlignment="1">
      <alignment horizontal="right" vertical="center"/>
    </xf>
    <xf numFmtId="164" fontId="8" fillId="16" borderId="0" xfId="0" applyNumberFormat="1" applyFont="1" applyFill="1" applyAlignment="1">
      <alignment horizontal="right" vertical="center"/>
    </xf>
    <xf numFmtId="164" fontId="8" fillId="16" borderId="12" xfId="0" applyNumberFormat="1" applyFont="1" applyFill="1" applyBorder="1" applyAlignment="1">
      <alignment horizontal="right" vertical="center"/>
    </xf>
    <xf numFmtId="43" fontId="6" fillId="16" borderId="1" xfId="0" applyNumberFormat="1" applyFont="1" applyFill="1" applyBorder="1" applyAlignment="1">
      <alignment horizontal="right" vertical="center"/>
    </xf>
    <xf numFmtId="43" fontId="9" fillId="15" borderId="0" xfId="0" applyNumberFormat="1" applyFont="1" applyFill="1" applyAlignment="1">
      <alignment horizontal="left" vertical="center" indent="1"/>
    </xf>
    <xf numFmtId="43" fontId="9" fillId="15" borderId="0" xfId="0" quotePrefix="1" applyNumberFormat="1" applyFont="1" applyFill="1" applyAlignment="1">
      <alignment horizontal="left" vertical="center" indent="1"/>
    </xf>
    <xf numFmtId="0" fontId="6" fillId="14" borderId="2" xfId="0" applyFont="1" applyFill="1" applyBorder="1"/>
    <xf numFmtId="169" fontId="6" fillId="14" borderId="15" xfId="0" applyNumberFormat="1" applyFont="1" applyFill="1" applyBorder="1"/>
    <xf numFmtId="43" fontId="14" fillId="15" borderId="10" xfId="0" applyNumberFormat="1" applyFont="1" applyFill="1" applyBorder="1"/>
    <xf numFmtId="0" fontId="9" fillId="16" borderId="22" xfId="0" applyFont="1" applyFill="1" applyBorder="1" applyAlignment="1">
      <alignment horizontal="right" wrapText="1"/>
    </xf>
    <xf numFmtId="0" fontId="9" fillId="16" borderId="3" xfId="0" applyFont="1" applyFill="1" applyBorder="1" applyAlignment="1">
      <alignment horizontal="right" wrapText="1"/>
    </xf>
    <xf numFmtId="0" fontId="9" fillId="16" borderId="10" xfId="0" applyFont="1" applyFill="1" applyBorder="1" applyAlignment="1">
      <alignment horizontal="right" wrapText="1"/>
    </xf>
    <xf numFmtId="169" fontId="9" fillId="16" borderId="3" xfId="0" applyNumberFormat="1" applyFont="1" applyFill="1" applyBorder="1" applyAlignment="1">
      <alignment horizontal="right" wrapText="1"/>
    </xf>
    <xf numFmtId="169" fontId="9" fillId="16" borderId="10" xfId="0" applyNumberFormat="1" applyFont="1" applyFill="1" applyBorder="1" applyAlignment="1">
      <alignment horizontal="center" wrapText="1"/>
    </xf>
    <xf numFmtId="169" fontId="9" fillId="16" borderId="3" xfId="0" applyNumberFormat="1" applyFont="1" applyFill="1" applyBorder="1" applyAlignment="1">
      <alignment horizontal="center" wrapText="1"/>
    </xf>
    <xf numFmtId="169" fontId="9" fillId="16" borderId="3" xfId="0" applyNumberFormat="1" applyFont="1" applyFill="1" applyBorder="1" applyAlignment="1">
      <alignment horizontal="center"/>
    </xf>
    <xf numFmtId="169" fontId="9" fillId="16" borderId="11" xfId="0" applyNumberFormat="1" applyFont="1" applyFill="1" applyBorder="1" applyAlignment="1">
      <alignment horizontal="center" wrapText="1"/>
    </xf>
    <xf numFmtId="169" fontId="9" fillId="16" borderId="3" xfId="0" quotePrefix="1" applyNumberFormat="1" applyFont="1" applyFill="1" applyBorder="1" applyAlignment="1">
      <alignment horizontal="center"/>
    </xf>
    <xf numFmtId="9" fontId="9" fillId="16" borderId="3" xfId="0" applyNumberFormat="1" applyFont="1" applyFill="1" applyBorder="1" applyAlignment="1">
      <alignment horizontal="center" wrapText="1"/>
    </xf>
    <xf numFmtId="164" fontId="6" fillId="15" borderId="10" xfId="0" applyNumberFormat="1" applyFont="1" applyFill="1" applyBorder="1" applyAlignment="1">
      <alignment horizontal="right"/>
    </xf>
    <xf numFmtId="169" fontId="6" fillId="15" borderId="10" xfId="0" applyNumberFormat="1" applyFont="1" applyFill="1" applyBorder="1" applyAlignment="1">
      <alignment horizontal="right" wrapText="1"/>
    </xf>
    <xf numFmtId="169" fontId="6" fillId="15" borderId="3" xfId="0" applyNumberFormat="1" applyFont="1" applyFill="1" applyBorder="1" applyAlignment="1">
      <alignment wrapText="1"/>
    </xf>
    <xf numFmtId="169" fontId="6" fillId="16" borderId="18" xfId="0" applyNumberFormat="1" applyFont="1" applyFill="1" applyBorder="1" applyAlignment="1">
      <alignment horizontal="right"/>
    </xf>
    <xf numFmtId="172" fontId="6" fillId="16" borderId="0" xfId="0" applyNumberFormat="1" applyFont="1" applyFill="1" applyAlignment="1">
      <alignment horizontal="right"/>
    </xf>
    <xf numFmtId="172" fontId="6" fillId="16" borderId="19" xfId="0" applyNumberFormat="1" applyFont="1" applyFill="1" applyBorder="1"/>
    <xf numFmtId="43" fontId="6" fillId="16" borderId="0" xfId="1" applyFont="1" applyFill="1" applyBorder="1" applyAlignment="1" applyProtection="1">
      <alignment horizontal="right"/>
    </xf>
    <xf numFmtId="169" fontId="6" fillId="15" borderId="10" xfId="0" applyNumberFormat="1" applyFont="1" applyFill="1" applyBorder="1" applyAlignment="1">
      <alignment horizontal="right"/>
    </xf>
    <xf numFmtId="43" fontId="6" fillId="15" borderId="14" xfId="0" applyNumberFormat="1" applyFont="1" applyFill="1" applyBorder="1" applyAlignment="1">
      <alignment horizontal="left" indent="1"/>
    </xf>
    <xf numFmtId="43" fontId="6" fillId="15" borderId="2" xfId="0" applyNumberFormat="1" applyFont="1" applyFill="1" applyBorder="1" applyAlignment="1">
      <alignment horizontal="left"/>
    </xf>
    <xf numFmtId="164" fontId="6" fillId="16" borderId="23" xfId="0" applyNumberFormat="1" applyFont="1" applyFill="1" applyBorder="1" applyAlignment="1">
      <alignment horizontal="right"/>
    </xf>
    <xf numFmtId="164" fontId="6" fillId="16" borderId="2" xfId="0" applyNumberFormat="1" applyFont="1" applyFill="1" applyBorder="1" applyAlignment="1">
      <alignment horizontal="right"/>
    </xf>
    <xf numFmtId="169" fontId="6" fillId="16" borderId="2" xfId="0" applyNumberFormat="1" applyFont="1" applyFill="1" applyBorder="1" applyAlignment="1">
      <alignment horizontal="right"/>
    </xf>
    <xf numFmtId="169" fontId="6" fillId="16" borderId="14" xfId="0" applyNumberFormat="1" applyFont="1" applyFill="1" applyBorder="1" applyAlignment="1">
      <alignment horizontal="right"/>
    </xf>
    <xf numFmtId="169" fontId="6" fillId="16" borderId="2" xfId="0" applyNumberFormat="1" applyFont="1" applyFill="1" applyBorder="1"/>
    <xf numFmtId="169" fontId="6" fillId="16" borderId="15" xfId="0" applyNumberFormat="1" applyFont="1" applyFill="1" applyBorder="1" applyAlignment="1">
      <alignment horizontal="right"/>
    </xf>
    <xf numFmtId="9" fontId="6" fillId="16" borderId="2" xfId="0" applyNumberFormat="1" applyFont="1" applyFill="1" applyBorder="1"/>
    <xf numFmtId="172" fontId="6" fillId="16" borderId="15" xfId="0" applyNumberFormat="1" applyFont="1" applyFill="1" applyBorder="1"/>
    <xf numFmtId="164" fontId="9" fillId="16" borderId="10" xfId="0" applyNumberFormat="1" applyFont="1" applyFill="1" applyBorder="1" applyAlignment="1">
      <alignment horizontal="right" vertical="center"/>
    </xf>
    <xf numFmtId="169" fontId="9" fillId="16" borderId="3" xfId="0" applyNumberFormat="1" applyFont="1" applyFill="1" applyBorder="1" applyAlignment="1">
      <alignment horizontal="right" vertical="center"/>
    </xf>
    <xf numFmtId="169" fontId="9" fillId="16" borderId="10" xfId="0" applyNumberFormat="1" applyFont="1" applyFill="1" applyBorder="1" applyAlignment="1">
      <alignment horizontal="right" vertical="center"/>
    </xf>
    <xf numFmtId="9" fontId="9" fillId="16" borderId="3" xfId="0" applyNumberFormat="1" applyFont="1" applyFill="1" applyBorder="1" applyAlignment="1">
      <alignment vertical="center"/>
    </xf>
    <xf numFmtId="169" fontId="9" fillId="16" borderId="11" xfId="0" applyNumberFormat="1" applyFont="1" applyFill="1" applyBorder="1" applyAlignment="1">
      <alignment vertical="center"/>
    </xf>
    <xf numFmtId="169" fontId="9" fillId="16" borderId="3" xfId="0" applyNumberFormat="1" applyFont="1" applyFill="1" applyBorder="1" applyAlignment="1">
      <alignment vertical="center"/>
    </xf>
    <xf numFmtId="172" fontId="9" fillId="16" borderId="3" xfId="0" applyNumberFormat="1" applyFont="1" applyFill="1" applyBorder="1" applyAlignment="1">
      <alignment vertical="center"/>
    </xf>
    <xf numFmtId="172" fontId="9" fillId="16" borderId="11" xfId="0" applyNumberFormat="1" applyFont="1" applyFill="1" applyBorder="1" applyAlignment="1">
      <alignment vertical="center"/>
    </xf>
    <xf numFmtId="49" fontId="13" fillId="14" borderId="10" xfId="1" applyNumberFormat="1" applyFont="1" applyFill="1" applyBorder="1" applyAlignment="1" applyProtection="1">
      <alignment vertical="center"/>
    </xf>
    <xf numFmtId="164" fontId="6" fillId="16" borderId="19" xfId="0" applyNumberFormat="1" applyFont="1" applyFill="1" applyBorder="1" applyAlignment="1">
      <alignment horizontal="right" vertical="center"/>
    </xf>
    <xf numFmtId="9" fontId="0" fillId="0" borderId="0" xfId="0" applyNumberFormat="1" applyProtection="1">
      <protection locked="0"/>
    </xf>
    <xf numFmtId="37" fontId="0" fillId="0" borderId="0" xfId="0" applyNumberFormat="1" applyProtection="1">
      <protection locked="0"/>
    </xf>
    <xf numFmtId="9" fontId="0" fillId="8" borderId="28" xfId="0" applyNumberFormat="1" applyFill="1" applyBorder="1" applyProtection="1">
      <protection locked="0"/>
    </xf>
    <xf numFmtId="172" fontId="0" fillId="8" borderId="29" xfId="0" applyNumberFormat="1" applyFill="1" applyBorder="1" applyProtection="1">
      <protection locked="0"/>
    </xf>
    <xf numFmtId="37" fontId="0" fillId="8" borderId="29" xfId="0" applyNumberFormat="1" applyFill="1" applyBorder="1" applyProtection="1">
      <protection locked="0"/>
    </xf>
    <xf numFmtId="0" fontId="0" fillId="8" borderId="29" xfId="0" applyFill="1" applyBorder="1" applyAlignment="1" applyProtection="1">
      <alignment horizontal="right"/>
      <protection locked="0"/>
    </xf>
    <xf numFmtId="37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2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3" borderId="1" xfId="0" applyFill="1" applyBorder="1" applyAlignment="1">
      <alignment horizontal="right" wrapText="1"/>
    </xf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20" borderId="1" xfId="0" applyFill="1" applyBorder="1" applyAlignment="1">
      <alignment wrapText="1"/>
    </xf>
    <xf numFmtId="10" fontId="0" fillId="0" borderId="0" xfId="0" applyNumberFormat="1"/>
    <xf numFmtId="167" fontId="0" fillId="0" borderId="0" xfId="0" applyNumberFormat="1"/>
    <xf numFmtId="10" fontId="0" fillId="0" borderId="1" xfId="0" applyNumberFormat="1" applyBorder="1"/>
    <xf numFmtId="0" fontId="0" fillId="24" borderId="0" xfId="0" applyFill="1"/>
    <xf numFmtId="0" fontId="0" fillId="18" borderId="6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164" fontId="10" fillId="0" borderId="1" xfId="1" applyNumberFormat="1" applyFont="1" applyBorder="1" applyAlignment="1" applyProtection="1">
      <alignment horizontal="center"/>
    </xf>
    <xf numFmtId="164" fontId="0" fillId="0" borderId="0" xfId="1" applyNumberFormat="1" applyFont="1" applyAlignment="1" applyProtection="1">
      <alignment horizontal="center"/>
    </xf>
    <xf numFmtId="164" fontId="0" fillId="0" borderId="2" xfId="1" applyNumberFormat="1" applyFont="1" applyBorder="1" applyAlignment="1" applyProtection="1">
      <alignment horizontal="center"/>
    </xf>
    <xf numFmtId="164" fontId="0" fillId="0" borderId="0" xfId="1" applyNumberFormat="1" applyFont="1" applyBorder="1" applyAlignment="1" applyProtection="1">
      <alignment horizontal="center"/>
    </xf>
    <xf numFmtId="164" fontId="0" fillId="0" borderId="18" xfId="1" applyNumberFormat="1" applyFont="1" applyBorder="1" applyAlignment="1" applyProtection="1">
      <alignment horizontal="center"/>
    </xf>
    <xf numFmtId="164" fontId="0" fillId="0" borderId="19" xfId="1" applyNumberFormat="1" applyFont="1" applyBorder="1" applyAlignment="1" applyProtection="1">
      <alignment horizontal="center"/>
    </xf>
    <xf numFmtId="164" fontId="0" fillId="0" borderId="16" xfId="1" applyNumberFormat="1" applyFont="1" applyBorder="1" applyAlignment="1" applyProtection="1">
      <alignment horizontal="center"/>
    </xf>
    <xf numFmtId="164" fontId="0" fillId="0" borderId="1" xfId="1" applyNumberFormat="1" applyFont="1" applyBorder="1" applyAlignment="1" applyProtection="1">
      <alignment horizontal="center"/>
    </xf>
    <xf numFmtId="164" fontId="0" fillId="0" borderId="17" xfId="1" applyNumberFormat="1" applyFont="1" applyBorder="1" applyAlignment="1" applyProtection="1">
      <alignment horizontal="center"/>
    </xf>
    <xf numFmtId="0" fontId="9" fillId="16" borderId="11" xfId="0" applyFont="1" applyFill="1" applyBorder="1" applyAlignment="1">
      <alignment horizontal="center" vertical="center" wrapText="1"/>
    </xf>
    <xf numFmtId="164" fontId="6" fillId="16" borderId="15" xfId="0" applyNumberFormat="1" applyFont="1" applyFill="1" applyBorder="1" applyAlignment="1">
      <alignment horizontal="right" vertical="center"/>
    </xf>
    <xf numFmtId="164" fontId="6" fillId="16" borderId="4" xfId="0" applyNumberFormat="1" applyFont="1" applyFill="1" applyBorder="1" applyAlignment="1">
      <alignment horizontal="right" vertical="center"/>
    </xf>
    <xf numFmtId="164" fontId="6" fillId="16" borderId="6" xfId="0" applyNumberFormat="1" applyFont="1" applyFill="1" applyBorder="1" applyAlignment="1">
      <alignment horizontal="right" vertical="center"/>
    </xf>
    <xf numFmtId="0" fontId="9" fillId="16" borderId="5" xfId="0" applyFont="1" applyFill="1" applyBorder="1" applyAlignment="1">
      <alignment horizontal="center" vertical="center" wrapText="1"/>
    </xf>
    <xf numFmtId="0" fontId="9" fillId="16" borderId="16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9" fillId="16" borderId="17" xfId="0" applyFont="1" applyFill="1" applyBorder="1" applyAlignment="1">
      <alignment horizontal="center" vertical="center" wrapText="1"/>
    </xf>
    <xf numFmtId="169" fontId="6" fillId="14" borderId="3" xfId="0" applyNumberFormat="1" applyFont="1" applyFill="1" applyBorder="1"/>
    <xf numFmtId="169" fontId="6" fillId="14" borderId="11" xfId="0" applyNumberFormat="1" applyFont="1" applyFill="1" applyBorder="1"/>
    <xf numFmtId="0" fontId="6" fillId="14" borderId="15" xfId="0" applyFont="1" applyFill="1" applyBorder="1"/>
    <xf numFmtId="43" fontId="6" fillId="15" borderId="16" xfId="0" applyNumberFormat="1" applyFont="1" applyFill="1" applyBorder="1" applyAlignment="1">
      <alignment vertical="center" wrapText="1"/>
    </xf>
    <xf numFmtId="164" fontId="6" fillId="16" borderId="26" xfId="0" applyNumberFormat="1" applyFont="1" applyFill="1" applyBorder="1" applyAlignment="1">
      <alignment horizontal="right" vertical="center"/>
    </xf>
    <xf numFmtId="164" fontId="6" fillId="16" borderId="31" xfId="0" applyNumberFormat="1" applyFont="1" applyFill="1" applyBorder="1" applyAlignment="1">
      <alignment horizontal="right" vertical="center"/>
    </xf>
    <xf numFmtId="164" fontId="0" fillId="0" borderId="3" xfId="1" applyNumberFormat="1" applyFont="1" applyBorder="1" applyAlignment="1" applyProtection="1">
      <alignment horizontal="center"/>
    </xf>
    <xf numFmtId="164" fontId="0" fillId="0" borderId="11" xfId="1" applyNumberFormat="1" applyFont="1" applyBorder="1" applyAlignment="1" applyProtection="1">
      <alignment horizontal="center"/>
    </xf>
    <xf numFmtId="49" fontId="13" fillId="14" borderId="5" xfId="1" applyNumberFormat="1" applyFont="1" applyFill="1" applyBorder="1" applyAlignment="1" applyProtection="1">
      <alignment vertical="center"/>
    </xf>
    <xf numFmtId="49" fontId="13" fillId="14" borderId="1" xfId="1" applyNumberFormat="1" applyFont="1" applyFill="1" applyBorder="1" applyAlignment="1" applyProtection="1">
      <alignment vertical="center"/>
    </xf>
    <xf numFmtId="164" fontId="6" fillId="16" borderId="25" xfId="0" applyNumberFormat="1" applyFont="1" applyFill="1" applyBorder="1" applyAlignment="1">
      <alignment horizontal="right" vertical="center"/>
    </xf>
    <xf numFmtId="164" fontId="10" fillId="0" borderId="10" xfId="1" applyNumberFormat="1" applyFont="1" applyBorder="1" applyAlignment="1" applyProtection="1">
      <alignment horizontal="left"/>
    </xf>
    <xf numFmtId="0" fontId="9" fillId="16" borderId="4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49" fontId="13" fillId="14" borderId="3" xfId="1" applyNumberFormat="1" applyFont="1" applyFill="1" applyBorder="1" applyAlignment="1" applyProtection="1">
      <alignment vertical="center"/>
    </xf>
    <xf numFmtId="49" fontId="13" fillId="14" borderId="11" xfId="1" applyNumberFormat="1" applyFont="1" applyFill="1" applyBorder="1" applyAlignment="1" applyProtection="1">
      <alignment vertical="center"/>
    </xf>
    <xf numFmtId="49" fontId="13" fillId="14" borderId="3" xfId="0" applyNumberFormat="1" applyFont="1" applyFill="1" applyBorder="1" applyAlignment="1">
      <alignment horizontal="left" vertical="center"/>
    </xf>
    <xf numFmtId="49" fontId="13" fillId="14" borderId="11" xfId="0" applyNumberFormat="1" applyFont="1" applyFill="1" applyBorder="1" applyAlignment="1">
      <alignment horizontal="left" vertical="center"/>
    </xf>
    <xf numFmtId="164" fontId="0" fillId="0" borderId="14" xfId="1" applyNumberFormat="1" applyFont="1" applyBorder="1" applyAlignment="1" applyProtection="1">
      <alignment horizontal="center"/>
    </xf>
    <xf numFmtId="164" fontId="0" fillId="0" borderId="15" xfId="1" applyNumberFormat="1" applyFont="1" applyBorder="1" applyAlignment="1" applyProtection="1">
      <alignment horizontal="center"/>
    </xf>
    <xf numFmtId="164" fontId="0" fillId="18" borderId="7" xfId="0" applyNumberFormat="1" applyFill="1" applyBorder="1" applyAlignment="1">
      <alignment horizontal="right"/>
    </xf>
    <xf numFmtId="164" fontId="6" fillId="15" borderId="10" xfId="0" applyNumberFormat="1" applyFont="1" applyFill="1" applyBorder="1" applyAlignment="1">
      <alignment horizontal="center" wrapText="1"/>
    </xf>
    <xf numFmtId="164" fontId="6" fillId="15" borderId="5" xfId="0" applyNumberFormat="1" applyFont="1" applyFill="1" applyBorder="1" applyAlignment="1">
      <alignment horizontal="center" wrapText="1"/>
    </xf>
    <xf numFmtId="164" fontId="0" fillId="18" borderId="4" xfId="0" applyNumberFormat="1" applyFill="1" applyBorder="1"/>
    <xf numFmtId="164" fontId="0" fillId="18" borderId="7" xfId="0" applyNumberFormat="1" applyFill="1" applyBorder="1"/>
    <xf numFmtId="0" fontId="0" fillId="0" borderId="11" xfId="0" applyBorder="1" applyAlignment="1">
      <alignment horizontal="center" wrapText="1"/>
    </xf>
    <xf numFmtId="164" fontId="9" fillId="19" borderId="15" xfId="0" applyNumberFormat="1" applyFont="1" applyFill="1" applyBorder="1" applyAlignment="1">
      <alignment horizontal="right"/>
    </xf>
    <xf numFmtId="164" fontId="9" fillId="19" borderId="19" xfId="0" applyNumberFormat="1" applyFont="1" applyFill="1" applyBorder="1" applyAlignment="1">
      <alignment horizontal="right"/>
    </xf>
    <xf numFmtId="9" fontId="9" fillId="16" borderId="5" xfId="2" applyFont="1" applyFill="1" applyBorder="1" applyAlignment="1" applyProtection="1"/>
    <xf numFmtId="9" fontId="8" fillId="22" borderId="6" xfId="0" applyNumberFormat="1" applyFont="1" applyFill="1" applyBorder="1" applyAlignment="1" applyProtection="1">
      <alignment horizontal="right"/>
      <protection locked="0"/>
    </xf>
    <xf numFmtId="0" fontId="0" fillId="18" borderId="4" xfId="0" applyFill="1" applyBorder="1"/>
    <xf numFmtId="0" fontId="0" fillId="18" borderId="6" xfId="0" applyFill="1" applyBorder="1"/>
    <xf numFmtId="164" fontId="6" fillId="19" borderId="6" xfId="0" applyNumberFormat="1" applyFont="1" applyFill="1" applyBorder="1" applyAlignment="1">
      <alignment horizontal="right"/>
    </xf>
    <xf numFmtId="164" fontId="6" fillId="19" borderId="5" xfId="0" applyNumberFormat="1" applyFont="1" applyFill="1" applyBorder="1" applyAlignment="1">
      <alignment horizontal="right"/>
    </xf>
    <xf numFmtId="0" fontId="2" fillId="21" borderId="3" xfId="0" applyFont="1" applyFill="1" applyBorder="1" applyAlignment="1">
      <alignment horizontal="center"/>
    </xf>
    <xf numFmtId="43" fontId="8" fillId="0" borderId="0" xfId="0" applyNumberFormat="1" applyFont="1"/>
    <xf numFmtId="168" fontId="8" fillId="0" borderId="0" xfId="0" applyNumberFormat="1" applyFont="1"/>
    <xf numFmtId="166" fontId="10" fillId="0" borderId="1" xfId="2" applyNumberFormat="1" applyFont="1" applyBorder="1" applyProtection="1"/>
    <xf numFmtId="166" fontId="7" fillId="12" borderId="0" xfId="2" applyNumberFormat="1" applyFont="1" applyFill="1" applyProtection="1"/>
    <xf numFmtId="166" fontId="10" fillId="0" borderId="0" xfId="2" applyNumberFormat="1" applyFont="1" applyProtection="1"/>
    <xf numFmtId="166" fontId="6" fillId="9" borderId="1" xfId="2" applyNumberFormat="1" applyFont="1" applyFill="1" applyBorder="1" applyAlignment="1" applyProtection="1">
      <alignment horizontal="center" wrapText="1"/>
    </xf>
    <xf numFmtId="166" fontId="0" fillId="0" borderId="1" xfId="2" applyNumberFormat="1" applyFont="1" applyBorder="1" applyProtection="1"/>
    <xf numFmtId="166" fontId="2" fillId="12" borderId="0" xfId="2" applyNumberFormat="1" applyFont="1" applyFill="1" applyProtection="1"/>
    <xf numFmtId="43" fontId="6" fillId="16" borderId="2" xfId="0" applyNumberFormat="1" applyFont="1" applyFill="1" applyBorder="1" applyAlignment="1">
      <alignment horizontal="right" vertical="center"/>
    </xf>
    <xf numFmtId="43" fontId="6" fillId="16" borderId="0" xfId="0" applyNumberFormat="1" applyFont="1" applyFill="1" applyAlignment="1">
      <alignment horizontal="right" vertical="center"/>
    </xf>
    <xf numFmtId="169" fontId="6" fillId="14" borderId="5" xfId="0" applyNumberFormat="1" applyFont="1" applyFill="1" applyBorder="1" applyAlignment="1">
      <alignment vertical="center"/>
    </xf>
    <xf numFmtId="0" fontId="9" fillId="16" borderId="6" xfId="0" applyFont="1" applyFill="1" applyBorder="1" applyAlignment="1">
      <alignment horizontal="center" vertical="center" wrapText="1"/>
    </xf>
    <xf numFmtId="43" fontId="13" fillId="14" borderId="5" xfId="0" applyNumberFormat="1" applyFont="1" applyFill="1" applyBorder="1" applyAlignment="1">
      <alignment vertical="center"/>
    </xf>
    <xf numFmtId="43" fontId="6" fillId="16" borderId="4" xfId="0" applyNumberFormat="1" applyFont="1" applyFill="1" applyBorder="1" applyAlignment="1">
      <alignment horizontal="right" vertical="center"/>
    </xf>
    <xf numFmtId="43" fontId="6" fillId="16" borderId="6" xfId="0" applyNumberFormat="1" applyFont="1" applyFill="1" applyBorder="1" applyAlignment="1">
      <alignment horizontal="right" vertical="center"/>
    </xf>
    <xf numFmtId="172" fontId="6" fillId="16" borderId="7" xfId="0" applyNumberFormat="1" applyFont="1" applyFill="1" applyBorder="1" applyAlignment="1">
      <alignment horizontal="right"/>
    </xf>
    <xf numFmtId="43" fontId="10" fillId="24" borderId="3" xfId="1" applyFont="1" applyFill="1" applyBorder="1" applyAlignment="1" applyProtection="1">
      <alignment horizontal="left"/>
    </xf>
    <xf numFmtId="164" fontId="0" fillId="0" borderId="0" xfId="1" applyNumberFormat="1" applyFont="1"/>
    <xf numFmtId="0" fontId="15" fillId="0" borderId="0" xfId="0" applyFont="1"/>
    <xf numFmtId="9" fontId="9" fillId="16" borderId="0" xfId="2" applyFont="1" applyFill="1" applyBorder="1" applyAlignment="1" applyProtection="1"/>
    <xf numFmtId="169" fontId="9" fillId="16" borderId="0" xfId="0" applyNumberFormat="1" applyFont="1" applyFill="1"/>
    <xf numFmtId="49" fontId="13" fillId="14" borderId="16" xfId="0" applyNumberFormat="1" applyFont="1" applyFill="1" applyBorder="1" applyAlignment="1">
      <alignment vertical="center"/>
    </xf>
    <xf numFmtId="43" fontId="13" fillId="14" borderId="13" xfId="0" applyNumberFormat="1" applyFont="1" applyFill="1" applyBorder="1" applyAlignment="1">
      <alignment horizontal="center" vertical="center"/>
    </xf>
    <xf numFmtId="43" fontId="13" fillId="14" borderId="1" xfId="0" applyNumberFormat="1" applyFont="1" applyFill="1" applyBorder="1" applyAlignment="1">
      <alignment vertical="center"/>
    </xf>
    <xf numFmtId="43" fontId="6" fillId="15" borderId="14" xfId="0" applyNumberFormat="1" applyFont="1" applyFill="1" applyBorder="1" applyAlignment="1">
      <alignment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0" fillId="0" borderId="18" xfId="0" quotePrefix="1" applyBorder="1" applyAlignment="1">
      <alignment horizontal="left"/>
    </xf>
    <xf numFmtId="173" fontId="0" fillId="18" borderId="7" xfId="1" applyNumberFormat="1" applyFont="1" applyFill="1" applyBorder="1" applyProtection="1"/>
    <xf numFmtId="172" fontId="0" fillId="18" borderId="6" xfId="6" applyNumberFormat="1" applyFont="1" applyFill="1" applyBorder="1" applyProtection="1"/>
    <xf numFmtId="164" fontId="0" fillId="0" borderId="0" xfId="1" applyNumberFormat="1" applyFont="1" applyAlignment="1">
      <alignment horizontal="right"/>
    </xf>
    <xf numFmtId="164" fontId="2" fillId="31" borderId="0" xfId="1" applyNumberFormat="1" applyFont="1" applyFill="1" applyAlignment="1" applyProtection="1">
      <alignment horizontal="center" wrapText="1"/>
    </xf>
    <xf numFmtId="0" fontId="0" fillId="0" borderId="0" xfId="0" applyAlignment="1">
      <alignment horizontal="center"/>
    </xf>
    <xf numFmtId="164" fontId="8" fillId="0" borderId="0" xfId="0" applyNumberFormat="1" applyFont="1"/>
    <xf numFmtId="0" fontId="0" fillId="0" borderId="11" xfId="0" applyBorder="1"/>
    <xf numFmtId="43" fontId="9" fillId="15" borderId="16" xfId="0" applyNumberFormat="1" applyFont="1" applyFill="1" applyBorder="1" applyAlignment="1">
      <alignment horizontal="left" vertical="center" indent="1"/>
    </xf>
    <xf numFmtId="164" fontId="9" fillId="16" borderId="31" xfId="0" applyNumberFormat="1" applyFont="1" applyFill="1" applyBorder="1" applyAlignment="1">
      <alignment horizontal="right" vertical="center"/>
    </xf>
    <xf numFmtId="164" fontId="9" fillId="16" borderId="3" xfId="0" applyNumberFormat="1" applyFont="1" applyFill="1" applyBorder="1" applyAlignment="1">
      <alignment horizontal="right" vertical="center"/>
    </xf>
    <xf numFmtId="164" fontId="9" fillId="16" borderId="5" xfId="0" applyNumberFormat="1" applyFont="1" applyFill="1" applyBorder="1" applyAlignment="1">
      <alignment horizontal="right" vertical="center"/>
    </xf>
    <xf numFmtId="164" fontId="9" fillId="16" borderId="11" xfId="0" applyNumberFormat="1" applyFont="1" applyFill="1" applyBorder="1" applyAlignment="1">
      <alignment horizontal="right" vertical="center"/>
    </xf>
    <xf numFmtId="166" fontId="0" fillId="0" borderId="0" xfId="2" applyNumberFormat="1" applyFont="1" applyAlignment="1" applyProtection="1">
      <alignment wrapText="1"/>
    </xf>
    <xf numFmtId="37" fontId="0" fillId="8" borderId="29" xfId="1" applyNumberFormat="1" applyFont="1" applyFill="1" applyBorder="1" applyAlignment="1" applyProtection="1">
      <alignment horizontal="right"/>
      <protection locked="0"/>
    </xf>
    <xf numFmtId="164" fontId="6" fillId="16" borderId="1" xfId="0" applyNumberFormat="1" applyFont="1" applyFill="1" applyBorder="1" applyAlignment="1">
      <alignment horizontal="right"/>
    </xf>
    <xf numFmtId="164" fontId="0" fillId="18" borderId="0" xfId="1" applyNumberFormat="1" applyFont="1" applyFill="1" applyBorder="1" applyProtection="1"/>
    <xf numFmtId="164" fontId="0" fillId="18" borderId="0" xfId="0" applyNumberFormat="1" applyFill="1"/>
    <xf numFmtId="164" fontId="0" fillId="18" borderId="19" xfId="0" applyNumberFormat="1" applyFill="1" applyBorder="1"/>
    <xf numFmtId="174" fontId="0" fillId="0" borderId="0" xfId="1" applyNumberFormat="1" applyFont="1"/>
    <xf numFmtId="165" fontId="2" fillId="4" borderId="0" xfId="1" applyNumberFormat="1" applyFont="1" applyFill="1" applyAlignment="1" applyProtection="1">
      <alignment wrapText="1"/>
    </xf>
    <xf numFmtId="164" fontId="2" fillId="2" borderId="0" xfId="1" applyNumberFormat="1" applyFont="1" applyFill="1"/>
    <xf numFmtId="165" fontId="0" fillId="0" borderId="0" xfId="1" applyNumberFormat="1" applyFont="1" applyProtection="1"/>
    <xf numFmtId="165" fontId="2" fillId="2" borderId="0" xfId="0" applyNumberFormat="1" applyFont="1" applyFill="1"/>
    <xf numFmtId="174" fontId="8" fillId="0" borderId="0" xfId="1" applyNumberFormat="1" applyFont="1" applyProtection="1"/>
    <xf numFmtId="174" fontId="0" fillId="0" borderId="0" xfId="0" applyNumberFormat="1"/>
    <xf numFmtId="174" fontId="0" fillId="0" borderId="0" xfId="1" applyNumberFormat="1" applyFont="1" applyProtection="1"/>
    <xf numFmtId="164" fontId="0" fillId="0" borderId="0" xfId="0" applyNumberFormat="1" applyAlignment="1">
      <alignment horizontal="right"/>
    </xf>
    <xf numFmtId="164" fontId="0" fillId="0" borderId="0" xfId="0" quotePrefix="1" applyNumberFormat="1" applyAlignment="1">
      <alignment horizontal="left"/>
    </xf>
    <xf numFmtId="174" fontId="10" fillId="0" borderId="1" xfId="1" applyNumberFormat="1" applyFont="1" applyBorder="1"/>
    <xf numFmtId="174" fontId="7" fillId="12" borderId="0" xfId="1" applyNumberFormat="1" applyFont="1" applyFill="1"/>
    <xf numFmtId="174" fontId="10" fillId="0" borderId="0" xfId="1" applyNumberFormat="1" applyFont="1"/>
    <xf numFmtId="174" fontId="2" fillId="12" borderId="0" xfId="1" applyNumberFormat="1" applyFont="1" applyFill="1"/>
    <xf numFmtId="174" fontId="0" fillId="3" borderId="1" xfId="1" applyNumberFormat="1" applyFont="1" applyFill="1" applyBorder="1" applyAlignment="1">
      <alignment wrapText="1"/>
    </xf>
    <xf numFmtId="174" fontId="8" fillId="0" borderId="0" xfId="1" applyNumberFormat="1" applyFont="1" applyAlignment="1" applyProtection="1">
      <alignment wrapText="1"/>
    </xf>
    <xf numFmtId="174" fontId="0" fillId="0" borderId="1" xfId="1" applyNumberFormat="1" applyFont="1" applyBorder="1" applyProtection="1"/>
    <xf numFmtId="174" fontId="10" fillId="0" borderId="1" xfId="0" applyNumberFormat="1" applyFont="1" applyBorder="1"/>
    <xf numFmtId="174" fontId="7" fillId="12" borderId="0" xfId="0" applyNumberFormat="1" applyFont="1" applyFill="1"/>
    <xf numFmtId="174" fontId="10" fillId="0" borderId="0" xfId="0" applyNumberFormat="1" applyFont="1"/>
    <xf numFmtId="174" fontId="0" fillId="3" borderId="1" xfId="0" applyNumberFormat="1" applyFill="1" applyBorder="1" applyAlignment="1">
      <alignment wrapText="1"/>
    </xf>
    <xf numFmtId="174" fontId="2" fillId="12" borderId="0" xfId="0" applyNumberFormat="1" applyFont="1" applyFill="1"/>
    <xf numFmtId="164" fontId="6" fillId="0" borderId="0" xfId="1" applyNumberFormat="1" applyFont="1" applyFill="1" applyProtection="1"/>
    <xf numFmtId="37" fontId="20" fillId="0" borderId="0" xfId="1" applyNumberFormat="1" applyFont="1" applyFill="1" applyProtection="1"/>
    <xf numFmtId="164" fontId="20" fillId="0" borderId="0" xfId="1" applyNumberFormat="1" applyFont="1" applyFill="1" applyProtection="1"/>
    <xf numFmtId="171" fontId="20" fillId="0" borderId="0" xfId="1" applyNumberFormat="1" applyFont="1" applyFill="1" applyProtection="1"/>
    <xf numFmtId="37" fontId="20" fillId="0" borderId="0" xfId="1" applyNumberFormat="1" applyFont="1" applyProtection="1"/>
    <xf numFmtId="9" fontId="20" fillId="0" borderId="0" xfId="2" applyFont="1" applyProtection="1"/>
    <xf numFmtId="165" fontId="20" fillId="0" borderId="0" xfId="1" applyNumberFormat="1" applyFont="1" applyProtection="1"/>
    <xf numFmtId="164" fontId="20" fillId="0" borderId="0" xfId="1" applyNumberFormat="1" applyFont="1" applyProtection="1"/>
    <xf numFmtId="37" fontId="20" fillId="0" borderId="0" xfId="0" applyNumberFormat="1" applyFont="1"/>
    <xf numFmtId="0" fontId="2" fillId="0" borderId="0" xfId="0" applyFont="1" applyAlignment="1">
      <alignment vertical="center"/>
    </xf>
    <xf numFmtId="0" fontId="2" fillId="21" borderId="14" xfId="0" applyFont="1" applyFill="1" applyBorder="1" applyAlignment="1">
      <alignment horizontal="center" vertical="center"/>
    </xf>
    <xf numFmtId="0" fontId="2" fillId="21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5" fontId="0" fillId="0" borderId="0" xfId="0" applyNumberFormat="1"/>
    <xf numFmtId="175" fontId="0" fillId="0" borderId="0" xfId="1" applyNumberFormat="1" applyFont="1"/>
    <xf numFmtId="176" fontId="10" fillId="0" borderId="0" xfId="1" applyNumberFormat="1" applyFont="1"/>
    <xf numFmtId="176" fontId="0" fillId="0" borderId="0" xfId="1" applyNumberFormat="1" applyFont="1"/>
    <xf numFmtId="164" fontId="0" fillId="0" borderId="0" xfId="1" applyNumberFormat="1" applyFont="1" applyFill="1" applyBorder="1"/>
    <xf numFmtId="175" fontId="10" fillId="0" borderId="0" xfId="0" applyNumberFormat="1" applyFont="1"/>
    <xf numFmtId="3" fontId="0" fillId="0" borderId="0" xfId="0" applyNumberFormat="1"/>
    <xf numFmtId="175" fontId="10" fillId="0" borderId="0" xfId="1" applyNumberFormat="1" applyFont="1"/>
    <xf numFmtId="0" fontId="0" fillId="0" borderId="8" xfId="0" applyBorder="1"/>
    <xf numFmtId="0" fontId="2" fillId="21" borderId="2" xfId="0" applyFont="1" applyFill="1" applyBorder="1" applyAlignment="1">
      <alignment horizontal="center" vertical="center"/>
    </xf>
    <xf numFmtId="165" fontId="0" fillId="0" borderId="0" xfId="1" applyNumberFormat="1" applyFont="1"/>
    <xf numFmtId="175" fontId="0" fillId="0" borderId="0" xfId="1" applyNumberFormat="1" applyFont="1" applyFill="1" applyBorder="1"/>
    <xf numFmtId="43" fontId="0" fillId="0" borderId="0" xfId="0" applyNumberFormat="1"/>
    <xf numFmtId="176" fontId="0" fillId="0" borderId="0" xfId="1" applyNumberFormat="1" applyFont="1" applyFill="1"/>
    <xf numFmtId="177" fontId="0" fillId="0" borderId="0" xfId="0" applyNumberFormat="1"/>
    <xf numFmtId="0" fontId="10" fillId="32" borderId="3" xfId="0" applyFont="1" applyFill="1" applyBorder="1" applyAlignment="1">
      <alignment horizontal="center" vertical="center"/>
    </xf>
    <xf numFmtId="175" fontId="0" fillId="0" borderId="4" xfId="0" applyNumberFormat="1" applyBorder="1" applyAlignment="1">
      <alignment horizontal="center" vertical="center"/>
    </xf>
    <xf numFmtId="175" fontId="0" fillId="0" borderId="6" xfId="0" applyNumberFormat="1" applyBorder="1" applyAlignment="1">
      <alignment horizontal="center" vertical="center"/>
    </xf>
    <xf numFmtId="0" fontId="0" fillId="0" borderId="6" xfId="0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3" fillId="14" borderId="32" xfId="1" applyNumberFormat="1" applyFont="1" applyFill="1" applyBorder="1" applyAlignment="1" applyProtection="1">
      <alignment horizontal="center" vertical="center"/>
    </xf>
    <xf numFmtId="49" fontId="13" fillId="14" borderId="33" xfId="1" applyNumberFormat="1" applyFont="1" applyFill="1" applyBorder="1" applyAlignment="1" applyProtection="1">
      <alignment horizontal="center" vertical="center"/>
    </xf>
    <xf numFmtId="49" fontId="13" fillId="14" borderId="34" xfId="1" applyNumberFormat="1" applyFont="1" applyFill="1" applyBorder="1" applyAlignment="1" applyProtection="1">
      <alignment horizontal="center" vertical="center"/>
    </xf>
    <xf numFmtId="175" fontId="0" fillId="0" borderId="35" xfId="0" applyNumberFormat="1" applyBorder="1"/>
    <xf numFmtId="175" fontId="0" fillId="0" borderId="36" xfId="0" applyNumberFormat="1" applyBorder="1" applyAlignment="1">
      <alignment horizontal="center" vertical="center"/>
    </xf>
    <xf numFmtId="175" fontId="0" fillId="0" borderId="37" xfId="0" applyNumberFormat="1" applyBorder="1"/>
    <xf numFmtId="175" fontId="0" fillId="0" borderId="38" xfId="0" applyNumberFormat="1" applyBorder="1" applyAlignment="1">
      <alignment horizontal="center" vertical="center"/>
    </xf>
    <xf numFmtId="0" fontId="10" fillId="32" borderId="41" xfId="0" applyFont="1" applyFill="1" applyBorder="1" applyAlignment="1">
      <alignment horizontal="center" vertical="center"/>
    </xf>
    <xf numFmtId="0" fontId="10" fillId="32" borderId="42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0" fillId="32" borderId="43" xfId="0" applyFill="1" applyBorder="1"/>
    <xf numFmtId="0" fontId="0" fillId="32" borderId="44" xfId="0" applyFill="1" applyBorder="1"/>
    <xf numFmtId="0" fontId="0" fillId="0" borderId="39" xfId="0" applyBorder="1" applyAlignment="1">
      <alignment horizontal="center" vertical="center"/>
    </xf>
    <xf numFmtId="0" fontId="0" fillId="32" borderId="45" xfId="0" applyFill="1" applyBorder="1"/>
    <xf numFmtId="0" fontId="0" fillId="0" borderId="46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3" fillId="0" borderId="0" xfId="1" applyNumberFormat="1" applyFont="1" applyFill="1" applyBorder="1" applyAlignment="1" applyProtection="1">
      <alignment vertical="center"/>
    </xf>
    <xf numFmtId="1" fontId="10" fillId="0" borderId="0" xfId="1" applyNumberFormat="1" applyFont="1" applyFill="1" applyBorder="1" applyAlignment="1" applyProtection="1">
      <alignment vertical="center"/>
    </xf>
    <xf numFmtId="1" fontId="10" fillId="0" borderId="50" xfId="1" applyNumberFormat="1" applyFont="1" applyFill="1" applyBorder="1" applyAlignment="1" applyProtection="1">
      <alignment vertical="center"/>
    </xf>
    <xf numFmtId="49" fontId="13" fillId="14" borderId="10" xfId="1" applyNumberFormat="1" applyFont="1" applyFill="1" applyBorder="1" applyAlignment="1" applyProtection="1">
      <alignment horizontal="center" vertical="center"/>
    </xf>
    <xf numFmtId="49" fontId="13" fillId="14" borderId="3" xfId="1" applyNumberFormat="1" applyFont="1" applyFill="1" applyBorder="1" applyAlignment="1" applyProtection="1">
      <alignment horizontal="center" vertical="center"/>
    </xf>
    <xf numFmtId="49" fontId="13" fillId="14" borderId="11" xfId="1" applyNumberFormat="1" applyFont="1" applyFill="1" applyBorder="1" applyAlignment="1" applyProtection="1">
      <alignment horizontal="center" vertical="center"/>
    </xf>
    <xf numFmtId="1" fontId="1" fillId="0" borderId="43" xfId="1" applyNumberFormat="1" applyFont="1" applyFill="1" applyBorder="1" applyAlignment="1" applyProtection="1">
      <alignment vertical="center"/>
    </xf>
    <xf numFmtId="2" fontId="10" fillId="0" borderId="47" xfId="1" applyNumberFormat="1" applyFont="1" applyFill="1" applyBorder="1" applyAlignment="1" applyProtection="1">
      <alignment vertical="center"/>
    </xf>
    <xf numFmtId="175" fontId="0" fillId="0" borderId="7" xfId="0" applyNumberForma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5" fontId="0" fillId="0" borderId="0" xfId="0" applyNumberFormat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5" fontId="9" fillId="0" borderId="47" xfId="0" applyNumberFormat="1" applyFont="1" applyBorder="1" applyAlignment="1">
      <alignment horizontal="center" vertical="center"/>
    </xf>
    <xf numFmtId="175" fontId="10" fillId="0" borderId="48" xfId="0" applyNumberFormat="1" applyFont="1" applyBorder="1" applyAlignment="1">
      <alignment horizontal="center" vertical="center"/>
    </xf>
    <xf numFmtId="164" fontId="10" fillId="0" borderId="48" xfId="0" applyNumberFormat="1" applyFont="1" applyBorder="1" applyAlignment="1">
      <alignment horizontal="center" vertical="center"/>
    </xf>
    <xf numFmtId="175" fontId="10" fillId="0" borderId="49" xfId="0" applyNumberFormat="1" applyFont="1" applyBorder="1" applyAlignment="1">
      <alignment horizontal="center" vertical="center"/>
    </xf>
    <xf numFmtId="49" fontId="13" fillId="14" borderId="32" xfId="1" applyNumberFormat="1" applyFont="1" applyFill="1" applyBorder="1" applyAlignment="1" applyProtection="1">
      <alignment vertical="center"/>
    </xf>
    <xf numFmtId="49" fontId="13" fillId="14" borderId="33" xfId="1" applyNumberFormat="1" applyFont="1" applyFill="1" applyBorder="1" applyAlignment="1" applyProtection="1">
      <alignment vertical="center"/>
    </xf>
    <xf numFmtId="49" fontId="13" fillId="14" borderId="34" xfId="1" applyNumberFormat="1" applyFont="1" applyFill="1" applyBorder="1" applyAlignment="1" applyProtection="1">
      <alignment vertical="center"/>
    </xf>
    <xf numFmtId="49" fontId="13" fillId="14" borderId="2" xfId="1" applyNumberFormat="1" applyFont="1" applyFill="1" applyBorder="1" applyAlignment="1" applyProtection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/>
    <xf numFmtId="176" fontId="0" fillId="0" borderId="7" xfId="0" applyNumberFormat="1" applyBorder="1" applyAlignment="1">
      <alignment horizontal="center" vertical="center"/>
    </xf>
    <xf numFmtId="9" fontId="21" fillId="0" borderId="48" xfId="2" applyFont="1" applyBorder="1" applyAlignment="1">
      <alignment horizontal="center"/>
    </xf>
    <xf numFmtId="9" fontId="21" fillId="0" borderId="49" xfId="2" applyFont="1" applyBorder="1" applyAlignment="1">
      <alignment horizontal="center"/>
    </xf>
    <xf numFmtId="49" fontId="13" fillId="14" borderId="53" xfId="1" applyNumberFormat="1" applyFont="1" applyFill="1" applyBorder="1" applyAlignment="1" applyProtection="1">
      <alignment horizontal="center" vertical="center"/>
    </xf>
    <xf numFmtId="49" fontId="13" fillId="14" borderId="51" xfId="1" applyNumberFormat="1" applyFont="1" applyFill="1" applyBorder="1" applyAlignment="1" applyProtection="1">
      <alignment horizontal="center" vertical="center"/>
    </xf>
    <xf numFmtId="49" fontId="13" fillId="14" borderId="52" xfId="1" applyNumberFormat="1" applyFont="1" applyFill="1" applyBorder="1" applyAlignment="1" applyProtection="1">
      <alignment horizontal="center" vertical="center"/>
    </xf>
    <xf numFmtId="0" fontId="2" fillId="21" borderId="1" xfId="0" applyFont="1" applyFill="1" applyBorder="1" applyAlignment="1">
      <alignment horizontal="center" vertical="center"/>
    </xf>
  </cellXfs>
  <cellStyles count="7">
    <cellStyle name="Comma" xfId="1" builtinId="3"/>
    <cellStyle name="Comma 2" xfId="4" xr:uid="{683E6CBE-7984-4E8F-B31A-BED37F010BBA}"/>
    <cellStyle name="Currency" xfId="6" builtinId="4"/>
    <cellStyle name="Currency 2" xfId="5" xr:uid="{8E7E8E90-584A-4A44-AEC6-55F221D6462A}"/>
    <cellStyle name="Normal" xfId="0" builtinId="0"/>
    <cellStyle name="Normal 2" xfId="3" xr:uid="{17A58980-AD21-4C66-85F0-045282E9E072}"/>
    <cellStyle name="Percent" xfId="2" builtinId="5"/>
  </cellStyles>
  <dxfs count="1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fgColor auto="1"/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7C80"/>
      <color rgb="FFFFFFCC"/>
      <color rgb="FFF2F2F2"/>
      <color rgb="FFFF0066"/>
      <color rgb="FF366092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openxmlformats.org/officeDocument/2006/relationships/image" Target="../media/image19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12" Type="http://schemas.openxmlformats.org/officeDocument/2006/relationships/image" Target="../media/image18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11" Type="http://schemas.openxmlformats.org/officeDocument/2006/relationships/image" Target="../media/image17.png"/><Relationship Id="rId5" Type="http://schemas.openxmlformats.org/officeDocument/2006/relationships/image" Target="../media/image11.png"/><Relationship Id="rId10" Type="http://schemas.openxmlformats.org/officeDocument/2006/relationships/image" Target="../media/image16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Relationship Id="rId14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458540</xdr:colOff>
      <xdr:row>66</xdr:row>
      <xdr:rowOff>20781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190C3-40C3-4A0D-9F6F-E4263296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602540" cy="124032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9525</xdr:rowOff>
    </xdr:from>
    <xdr:to>
      <xdr:col>14</xdr:col>
      <xdr:colOff>563181</xdr:colOff>
      <xdr:row>60</xdr:row>
      <xdr:rowOff>153989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A4738C-2164-4275-BA8F-FB8FCA06E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8640381" cy="11383964"/>
        </a:xfrm>
        <a:prstGeom prst="rect">
          <a:avLst/>
        </a:prstGeom>
      </xdr:spPr>
    </xdr:pic>
    <xdr:clientData/>
  </xdr:twoCellAnchor>
  <xdr:twoCellAnchor editAs="oneCell">
    <xdr:from>
      <xdr:col>15</xdr:col>
      <xdr:colOff>1945</xdr:colOff>
      <xdr:row>1</xdr:row>
      <xdr:rowOff>38100</xdr:rowOff>
    </xdr:from>
    <xdr:to>
      <xdr:col>28</xdr:col>
      <xdr:colOff>286956</xdr:colOff>
      <xdr:row>60</xdr:row>
      <xdr:rowOff>58804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0EF8A8-F507-4E64-A914-5A91AC62E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5945" y="228600"/>
          <a:ext cx="8209811" cy="11260204"/>
        </a:xfrm>
        <a:prstGeom prst="rect">
          <a:avLst/>
        </a:prstGeom>
      </xdr:spPr>
    </xdr:pic>
    <xdr:clientData/>
  </xdr:twoCellAnchor>
  <xdr:twoCellAnchor editAs="oneCell">
    <xdr:from>
      <xdr:col>29</xdr:col>
      <xdr:colOff>257175</xdr:colOff>
      <xdr:row>1</xdr:row>
      <xdr:rowOff>133350</xdr:rowOff>
    </xdr:from>
    <xdr:to>
      <xdr:col>43</xdr:col>
      <xdr:colOff>163103</xdr:colOff>
      <xdr:row>61</xdr:row>
      <xdr:rowOff>134945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6F6C20-6EAF-4286-8EFE-AC262E9D2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35575" y="323850"/>
          <a:ext cx="8440328" cy="11431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202044</xdr:colOff>
      <xdr:row>4</xdr:row>
      <xdr:rowOff>144318</xdr:rowOff>
    </xdr:from>
    <xdr:to>
      <xdr:col>18</xdr:col>
      <xdr:colOff>484059</xdr:colOff>
      <xdr:row>69</xdr:row>
      <xdr:rowOff>186131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CA1A9C-3563-46E2-AF0A-5940870FD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244" y="906318"/>
          <a:ext cx="10035615" cy="12424313"/>
        </a:xfrm>
        <a:prstGeom prst="rect">
          <a:avLst/>
        </a:prstGeom>
      </xdr:spPr>
    </xdr:pic>
    <xdr:clientData/>
  </xdr:twoCellAnchor>
  <xdr:twoCellAnchor editAs="oneCell">
    <xdr:from>
      <xdr:col>20</xdr:col>
      <xdr:colOff>148739</xdr:colOff>
      <xdr:row>6</xdr:row>
      <xdr:rowOff>173182</xdr:rowOff>
    </xdr:from>
    <xdr:to>
      <xdr:col>36</xdr:col>
      <xdr:colOff>489887</xdr:colOff>
      <xdr:row>61</xdr:row>
      <xdr:rowOff>28863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1CA33F-2679-44D3-86EC-A5C26AF3C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40739" y="1316182"/>
          <a:ext cx="10094748" cy="103331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49597</xdr:rowOff>
    </xdr:from>
    <xdr:to>
      <xdr:col>16</xdr:col>
      <xdr:colOff>546801</xdr:colOff>
      <xdr:row>137</xdr:row>
      <xdr:rowOff>151239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7C79E-1F48-41D9-9D60-A93DBF498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146597"/>
          <a:ext cx="10300401" cy="12103142"/>
        </a:xfrm>
        <a:prstGeom prst="rect">
          <a:avLst/>
        </a:prstGeom>
      </xdr:spPr>
    </xdr:pic>
    <xdr:clientData/>
  </xdr:twoCellAnchor>
  <xdr:twoCellAnchor editAs="oneCell">
    <xdr:from>
      <xdr:col>17</xdr:col>
      <xdr:colOff>567109</xdr:colOff>
      <xdr:row>75</xdr:row>
      <xdr:rowOff>197980</xdr:rowOff>
    </xdr:from>
    <xdr:to>
      <xdr:col>33</xdr:col>
      <xdr:colOff>231791</xdr:colOff>
      <xdr:row>140</xdr:row>
      <xdr:rowOff>174056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112DA2-4B41-46A9-B533-6E091626B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30309" y="14475955"/>
          <a:ext cx="9418282" cy="12368101"/>
        </a:xfrm>
        <a:prstGeom prst="rect">
          <a:avLst/>
        </a:prstGeom>
      </xdr:spPr>
    </xdr:pic>
    <xdr:clientData/>
  </xdr:twoCellAnchor>
  <xdr:twoCellAnchor editAs="oneCell">
    <xdr:from>
      <xdr:col>34</xdr:col>
      <xdr:colOff>202046</xdr:colOff>
      <xdr:row>75</xdr:row>
      <xdr:rowOff>57727</xdr:rowOff>
    </xdr:from>
    <xdr:to>
      <xdr:col>48</xdr:col>
      <xdr:colOff>438297</xdr:colOff>
      <xdr:row>138</xdr:row>
      <xdr:rowOff>171280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9CD976-9020-4AB9-A60E-B0E3FBD5E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28446" y="14345227"/>
          <a:ext cx="8770651" cy="12115053"/>
        </a:xfrm>
        <a:prstGeom prst="rect">
          <a:avLst/>
        </a:prstGeom>
      </xdr:spPr>
    </xdr:pic>
    <xdr:clientData/>
  </xdr:twoCellAnchor>
  <xdr:twoCellAnchor editAs="oneCell">
    <xdr:from>
      <xdr:col>49</xdr:col>
      <xdr:colOff>425231</xdr:colOff>
      <xdr:row>76</xdr:row>
      <xdr:rowOff>147570</xdr:rowOff>
    </xdr:from>
    <xdr:to>
      <xdr:col>64</xdr:col>
      <xdr:colOff>143522</xdr:colOff>
      <xdr:row>141</xdr:row>
      <xdr:rowOff>76016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72D2100-268F-4825-8188-D69953E16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295631" y="14625570"/>
          <a:ext cx="8862291" cy="12310946"/>
        </a:xfrm>
        <a:prstGeom prst="rect">
          <a:avLst/>
        </a:prstGeom>
      </xdr:spPr>
    </xdr:pic>
    <xdr:clientData/>
  </xdr:twoCellAnchor>
  <xdr:twoCellAnchor editAs="oneCell">
    <xdr:from>
      <xdr:col>66</xdr:col>
      <xdr:colOff>127242</xdr:colOff>
      <xdr:row>80</xdr:row>
      <xdr:rowOff>82525</xdr:rowOff>
    </xdr:from>
    <xdr:to>
      <xdr:col>80</xdr:col>
      <xdr:colOff>220600</xdr:colOff>
      <xdr:row>136</xdr:row>
      <xdr:rowOff>158056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F4A9284-5B76-4F6E-BA2D-FBD1D11F3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360842" y="15322525"/>
          <a:ext cx="8627758" cy="10743531"/>
        </a:xfrm>
        <a:prstGeom prst="rect">
          <a:avLst/>
        </a:prstGeom>
      </xdr:spPr>
    </xdr:pic>
    <xdr:clientData/>
  </xdr:twoCellAnchor>
  <xdr:twoCellAnchor editAs="oneCell">
    <xdr:from>
      <xdr:col>0</xdr:col>
      <xdr:colOff>490681</xdr:colOff>
      <xdr:row>17</xdr:row>
      <xdr:rowOff>0</xdr:rowOff>
    </xdr:from>
    <xdr:to>
      <xdr:col>15</xdr:col>
      <xdr:colOff>29490</xdr:colOff>
      <xdr:row>70</xdr:row>
      <xdr:rowOff>180186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AF2C4B-59E1-4933-ABA9-2A6213262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681" y="3238500"/>
          <a:ext cx="8682809" cy="10276686"/>
        </a:xfrm>
        <a:prstGeom prst="rect">
          <a:avLst/>
        </a:prstGeom>
      </xdr:spPr>
    </xdr:pic>
    <xdr:clientData/>
  </xdr:twoCellAnchor>
  <xdr:twoCellAnchor editAs="oneCell">
    <xdr:from>
      <xdr:col>17</xdr:col>
      <xdr:colOff>13186</xdr:colOff>
      <xdr:row>19</xdr:row>
      <xdr:rowOff>86591</xdr:rowOff>
    </xdr:from>
    <xdr:to>
      <xdr:col>30</xdr:col>
      <xdr:colOff>320121</xdr:colOff>
      <xdr:row>71</xdr:row>
      <xdr:rowOff>144318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E4C81CE-C240-4268-AAE1-FCBB6A77B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76386" y="3706091"/>
          <a:ext cx="8231735" cy="9963727"/>
        </a:xfrm>
        <a:prstGeom prst="rect">
          <a:avLst/>
        </a:prstGeom>
      </xdr:spPr>
    </xdr:pic>
    <xdr:clientData/>
  </xdr:twoCellAnchor>
  <xdr:twoCellAnchor editAs="oneCell">
    <xdr:from>
      <xdr:col>33</xdr:col>
      <xdr:colOff>349695</xdr:colOff>
      <xdr:row>20</xdr:row>
      <xdr:rowOff>115455</xdr:rowOff>
    </xdr:from>
    <xdr:to>
      <xdr:col>46</xdr:col>
      <xdr:colOff>168836</xdr:colOff>
      <xdr:row>73</xdr:row>
      <xdr:rowOff>115455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FCE1211-FCEB-489F-9C37-DE903AACC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66495" y="3925455"/>
          <a:ext cx="7743941" cy="10096500"/>
        </a:xfrm>
        <a:prstGeom prst="rect">
          <a:avLst/>
        </a:prstGeom>
      </xdr:spPr>
    </xdr:pic>
    <xdr:clientData/>
  </xdr:twoCellAnchor>
  <xdr:twoCellAnchor editAs="oneCell">
    <xdr:from>
      <xdr:col>49</xdr:col>
      <xdr:colOff>461818</xdr:colOff>
      <xdr:row>19</xdr:row>
      <xdr:rowOff>57727</xdr:rowOff>
    </xdr:from>
    <xdr:to>
      <xdr:col>63</xdr:col>
      <xdr:colOff>501974</xdr:colOff>
      <xdr:row>72</xdr:row>
      <xdr:rowOff>152176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061B5AD-C58A-45CC-9DC8-E6E93D71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332218" y="3677227"/>
          <a:ext cx="8574556" cy="10190949"/>
        </a:xfrm>
        <a:prstGeom prst="rect">
          <a:avLst/>
        </a:prstGeom>
      </xdr:spPr>
    </xdr:pic>
    <xdr:clientData/>
  </xdr:twoCellAnchor>
  <xdr:twoCellAnchor editAs="oneCell">
    <xdr:from>
      <xdr:col>64</xdr:col>
      <xdr:colOff>375228</xdr:colOff>
      <xdr:row>18</xdr:row>
      <xdr:rowOff>28863</xdr:rowOff>
    </xdr:from>
    <xdr:to>
      <xdr:col>78</xdr:col>
      <xdr:colOff>291542</xdr:colOff>
      <xdr:row>74</xdr:row>
      <xdr:rowOff>60175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B2E7C59-AD06-4AD0-B050-DD399769D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389628" y="3457863"/>
          <a:ext cx="8450714" cy="10699312"/>
        </a:xfrm>
        <a:prstGeom prst="rect">
          <a:avLst/>
        </a:prstGeom>
      </xdr:spPr>
    </xdr:pic>
    <xdr:clientData/>
  </xdr:twoCellAnchor>
  <xdr:twoCellAnchor editAs="oneCell">
    <xdr:from>
      <xdr:col>51</xdr:col>
      <xdr:colOff>580073</xdr:colOff>
      <xdr:row>0</xdr:row>
      <xdr:rowOff>0</xdr:rowOff>
    </xdr:from>
    <xdr:to>
      <xdr:col>57</xdr:col>
      <xdr:colOff>198052</xdr:colOff>
      <xdr:row>19</xdr:row>
      <xdr:rowOff>19844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583A469-C926-4613-9AD5-92BF36609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669673" y="0"/>
          <a:ext cx="3275579" cy="3639344"/>
        </a:xfrm>
        <a:prstGeom prst="rect">
          <a:avLst/>
        </a:prstGeom>
      </xdr:spPr>
    </xdr:pic>
    <xdr:clientData/>
  </xdr:twoCellAnchor>
  <xdr:twoCellAnchor editAs="oneCell">
    <xdr:from>
      <xdr:col>57</xdr:col>
      <xdr:colOff>578204</xdr:colOff>
      <xdr:row>0</xdr:row>
      <xdr:rowOff>99219</xdr:rowOff>
    </xdr:from>
    <xdr:to>
      <xdr:col>62</xdr:col>
      <xdr:colOff>345391</xdr:colOff>
      <xdr:row>18</xdr:row>
      <xdr:rowOff>19844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5782D4F-D7BF-4683-98AF-3834FB752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325404" y="99219"/>
          <a:ext cx="2815187" cy="3349625"/>
        </a:xfrm>
        <a:prstGeom prst="rect">
          <a:avLst/>
        </a:prstGeom>
      </xdr:spPr>
    </xdr:pic>
    <xdr:clientData/>
  </xdr:twoCellAnchor>
  <xdr:twoCellAnchor editAs="oneCell">
    <xdr:from>
      <xdr:col>44</xdr:col>
      <xdr:colOff>148827</xdr:colOff>
      <xdr:row>0</xdr:row>
      <xdr:rowOff>0</xdr:rowOff>
    </xdr:from>
    <xdr:to>
      <xdr:col>50</xdr:col>
      <xdr:colOff>178373</xdr:colOff>
      <xdr:row>19</xdr:row>
      <xdr:rowOff>61366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CE31072-4AD7-47B3-B981-7BD02AF94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6971227" y="0"/>
          <a:ext cx="3687146" cy="3680866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0</xdr:row>
      <xdr:rowOff>0</xdr:rowOff>
    </xdr:from>
    <xdr:to>
      <xdr:col>20</xdr:col>
      <xdr:colOff>323850</xdr:colOff>
      <xdr:row>38</xdr:row>
      <xdr:rowOff>180846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41B347A-EC3E-A50D-0EA1-F9C7B93A8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3849" y="0"/>
          <a:ext cx="12192001" cy="74198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28</xdr:col>
      <xdr:colOff>592845</xdr:colOff>
      <xdr:row>62</xdr:row>
      <xdr:rowOff>163543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CFD6B-0640-418F-9D99-83DAFC4D0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81000"/>
          <a:ext cx="16442445" cy="115935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16</xdr:col>
      <xdr:colOff>439402</xdr:colOff>
      <xdr:row>59</xdr:row>
      <xdr:rowOff>11068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5D5539-DD51-4FA2-B7A7-DDA8E744D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90500"/>
          <a:ext cx="8973802" cy="11060068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600075</xdr:colOff>
      <xdr:row>0</xdr:row>
      <xdr:rowOff>66675</xdr:rowOff>
    </xdr:from>
    <xdr:to>
      <xdr:col>32</xdr:col>
      <xdr:colOff>429962</xdr:colOff>
      <xdr:row>41</xdr:row>
      <xdr:rowOff>172555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C446B6-2CFA-4B4A-84C6-2607756A9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53675" y="66675"/>
          <a:ext cx="9583487" cy="7916380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76200</xdr:colOff>
      <xdr:row>42</xdr:row>
      <xdr:rowOff>47625</xdr:rowOff>
    </xdr:from>
    <xdr:to>
      <xdr:col>30</xdr:col>
      <xdr:colOff>220201</xdr:colOff>
      <xdr:row>55</xdr:row>
      <xdr:rowOff>76550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F57815-619D-4186-BFD0-AAA88B64C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39400" y="8048625"/>
          <a:ext cx="8068801" cy="2505425"/>
        </a:xfrm>
        <a:prstGeom prst="rect">
          <a:avLst/>
        </a:prstGeom>
      </xdr:spPr>
    </xdr:pic>
    <xdr:clientData/>
  </xdr:twoCellAnchor>
  <xdr:twoCellAnchor editAs="oneCell">
    <xdr:from>
      <xdr:col>16</xdr:col>
      <xdr:colOff>514350</xdr:colOff>
      <xdr:row>55</xdr:row>
      <xdr:rowOff>171450</xdr:rowOff>
    </xdr:from>
    <xdr:to>
      <xdr:col>30</xdr:col>
      <xdr:colOff>382173</xdr:colOff>
      <xdr:row>64</xdr:row>
      <xdr:rowOff>152637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10B4C0-B50B-4388-B944-1CF0D274D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67950" y="10648950"/>
          <a:ext cx="8402223" cy="169568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16</xdr:col>
      <xdr:colOff>163139</xdr:colOff>
      <xdr:row>105</xdr:row>
      <xdr:rowOff>125039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186E35-6B0D-4DC4-83AB-C9D4E2A37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9200" y="11430000"/>
          <a:ext cx="8697539" cy="8697539"/>
        </a:xfrm>
        <a:prstGeom prst="rect">
          <a:avLst/>
        </a:prstGeom>
      </xdr:spPr>
    </xdr:pic>
    <xdr:clientData/>
  </xdr:twoCellAnchor>
  <xdr:twoCellAnchor editAs="oneCell">
    <xdr:from>
      <xdr:col>16</xdr:col>
      <xdr:colOff>247650</xdr:colOff>
      <xdr:row>76</xdr:row>
      <xdr:rowOff>57150</xdr:rowOff>
    </xdr:from>
    <xdr:to>
      <xdr:col>29</xdr:col>
      <xdr:colOff>410704</xdr:colOff>
      <xdr:row>85</xdr:row>
      <xdr:rowOff>47863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3B4781-D05F-40AD-84F2-403B43B75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01250" y="14535150"/>
          <a:ext cx="8087854" cy="17052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476250</xdr:colOff>
      <xdr:row>17</xdr:row>
      <xdr:rowOff>94672</xdr:rowOff>
    </xdr:from>
    <xdr:to>
      <xdr:col>22</xdr:col>
      <xdr:colOff>574371</xdr:colOff>
      <xdr:row>57</xdr:row>
      <xdr:rowOff>137236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3418D28-7B77-D602-7F0D-2B927CE70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3333172"/>
          <a:ext cx="8632521" cy="7662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5CB0-E51D-4C94-8687-EF872A9542AB}">
  <sheetPr codeName="Sheet1">
    <tabColor theme="7" tint="0.79998168889431442"/>
  </sheetPr>
  <dimension ref="A1:AF43"/>
  <sheetViews>
    <sheetView showGridLines="0" workbookViewId="0">
      <selection activeCell="K43" sqref="K43"/>
    </sheetView>
  </sheetViews>
  <sheetFormatPr baseColWidth="10" defaultColWidth="0" defaultRowHeight="15" zeroHeight="1" x14ac:dyDescent="0.2"/>
  <cols>
    <col min="1" max="1" width="1.5" customWidth="1"/>
    <col min="2" max="2" width="44.1640625" customWidth="1"/>
    <col min="3" max="10" width="11.5" customWidth="1"/>
    <col min="11" max="11" width="32.5" customWidth="1"/>
    <col min="12" max="12" width="1.5" customWidth="1"/>
    <col min="13" max="13" width="14" style="44" bestFit="1" customWidth="1"/>
    <col min="14" max="14" width="14.1640625" style="44" bestFit="1" customWidth="1"/>
    <col min="15" max="18" width="10.5" style="44" customWidth="1"/>
    <col min="19" max="19" width="10.5" customWidth="1"/>
    <col min="20" max="20" width="1.5" customWidth="1"/>
    <col min="21" max="21" width="10.5" customWidth="1"/>
    <col min="22" max="32" width="10.5" hidden="1" customWidth="1"/>
    <col min="33" max="16384" width="8.5" hidden="1"/>
  </cols>
  <sheetData>
    <row r="1" spans="1:19" s="1" customFormat="1" x14ac:dyDescent="0.2">
      <c r="A1" s="1" t="s">
        <v>0</v>
      </c>
      <c r="L1" s="71"/>
      <c r="M1" s="124"/>
      <c r="N1" s="124"/>
      <c r="O1" s="124"/>
      <c r="P1" s="124"/>
      <c r="Q1" s="124"/>
      <c r="R1" s="124"/>
    </row>
    <row r="2" spans="1:19" x14ac:dyDescent="0.2"/>
    <row r="3" spans="1:19" x14ac:dyDescent="0.2">
      <c r="B3" s="68" t="s">
        <v>1</v>
      </c>
      <c r="C3" s="204"/>
      <c r="D3" s="204"/>
      <c r="E3" s="204"/>
      <c r="F3" s="204"/>
      <c r="G3" s="204"/>
      <c r="H3" s="204"/>
      <c r="I3" s="204"/>
      <c r="J3" s="204"/>
      <c r="K3" s="205"/>
    </row>
    <row r="4" spans="1:19" ht="16" x14ac:dyDescent="0.2">
      <c r="B4" s="90" t="s">
        <v>2</v>
      </c>
      <c r="C4" s="41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137"/>
      <c r="J4" s="137"/>
      <c r="K4" s="200" t="s">
        <v>9</v>
      </c>
      <c r="M4" s="125"/>
    </row>
    <row r="5" spans="1:19" x14ac:dyDescent="0.2">
      <c r="B5" s="68" t="s">
        <v>10</v>
      </c>
      <c r="C5" s="204"/>
      <c r="D5" s="204"/>
      <c r="E5" s="204"/>
      <c r="F5" s="204"/>
      <c r="G5" s="204"/>
      <c r="H5" s="204"/>
      <c r="I5" s="204"/>
      <c r="J5" s="204"/>
      <c r="K5" s="205"/>
      <c r="M5" s="127" t="s">
        <v>11</v>
      </c>
      <c r="N5" s="86" t="s">
        <v>12</v>
      </c>
      <c r="O5" s="86" t="s">
        <v>13</v>
      </c>
      <c r="P5" s="86"/>
      <c r="Q5" s="86"/>
      <c r="R5" s="86"/>
      <c r="S5" s="114"/>
    </row>
    <row r="6" spans="1:19" x14ac:dyDescent="0.2">
      <c r="B6" s="69" t="s">
        <v>14</v>
      </c>
      <c r="C6" s="83">
        <v>0</v>
      </c>
      <c r="D6" s="83">
        <v>3</v>
      </c>
      <c r="E6" s="83">
        <v>3</v>
      </c>
      <c r="F6" s="83">
        <v>0</v>
      </c>
      <c r="G6" s="83">
        <v>0</v>
      </c>
      <c r="H6" s="83">
        <v>3</v>
      </c>
      <c r="I6" s="192"/>
      <c r="J6" s="192"/>
      <c r="K6" s="201" t="s">
        <v>15</v>
      </c>
      <c r="M6" s="128">
        <f>Model!I25*Model!J25</f>
        <v>90000</v>
      </c>
      <c r="N6" s="129">
        <f>Model!AD25</f>
        <v>72</v>
      </c>
      <c r="O6" s="129"/>
      <c r="P6" s="129"/>
      <c r="Q6" s="129"/>
      <c r="R6" s="129"/>
      <c r="S6" s="193"/>
    </row>
    <row r="7" spans="1:19" x14ac:dyDescent="0.2">
      <c r="B7" s="69" t="s">
        <v>16</v>
      </c>
      <c r="C7" s="83">
        <v>0</v>
      </c>
      <c r="D7" s="83">
        <v>0</v>
      </c>
      <c r="E7" s="83">
        <v>0</v>
      </c>
      <c r="F7" s="83">
        <v>2</v>
      </c>
      <c r="G7" s="83">
        <v>0</v>
      </c>
      <c r="H7" s="83">
        <v>0</v>
      </c>
      <c r="I7" s="192"/>
      <c r="J7" s="192"/>
      <c r="K7" s="201" t="s">
        <v>17</v>
      </c>
      <c r="M7" s="128">
        <f>Model!I26*Model!J26</f>
        <v>40000</v>
      </c>
      <c r="N7" s="129">
        <f>Model!AD26</f>
        <v>120</v>
      </c>
      <c r="O7" s="129"/>
      <c r="P7" s="129"/>
      <c r="Q7" s="129"/>
      <c r="R7" s="129"/>
      <c r="S7" s="193"/>
    </row>
    <row r="8" spans="1:19" x14ac:dyDescent="0.2">
      <c r="B8" s="69" t="s">
        <v>18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0</v>
      </c>
      <c r="I8" s="192"/>
      <c r="J8" s="192"/>
      <c r="K8" s="201" t="s">
        <v>19</v>
      </c>
      <c r="M8" s="128">
        <f>Model!I27*Model!J27</f>
        <v>20000</v>
      </c>
      <c r="N8" s="129">
        <f>Model!AD27</f>
        <v>60</v>
      </c>
      <c r="O8" s="129">
        <f>Model!AH27</f>
        <v>5000</v>
      </c>
      <c r="P8" s="129"/>
      <c r="Q8" s="129"/>
      <c r="R8" s="129"/>
      <c r="S8" s="193"/>
    </row>
    <row r="9" spans="1:19" x14ac:dyDescent="0.2">
      <c r="B9" s="69" t="s">
        <v>20</v>
      </c>
      <c r="C9" s="83">
        <v>0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192"/>
      <c r="J9" s="192"/>
      <c r="K9" s="201" t="s">
        <v>21</v>
      </c>
      <c r="M9" s="128">
        <f>Model!I28*Model!J28</f>
        <v>0</v>
      </c>
      <c r="N9" s="129">
        <f>Model!AD28</f>
        <v>0</v>
      </c>
      <c r="O9" s="129"/>
      <c r="P9" s="129"/>
      <c r="Q9" s="129"/>
      <c r="R9" s="129"/>
      <c r="S9" s="193"/>
    </row>
    <row r="10" spans="1:19" x14ac:dyDescent="0.2">
      <c r="B10" s="70" t="s">
        <v>22</v>
      </c>
      <c r="C10" s="84">
        <v>0</v>
      </c>
      <c r="D10" s="84">
        <v>1</v>
      </c>
      <c r="E10" s="84">
        <v>0</v>
      </c>
      <c r="F10" s="84">
        <v>0</v>
      </c>
      <c r="G10" s="84">
        <v>0</v>
      </c>
      <c r="H10" s="84">
        <v>0</v>
      </c>
      <c r="I10" s="194"/>
      <c r="J10" s="192"/>
      <c r="K10" s="201" t="s">
        <v>23</v>
      </c>
      <c r="M10" s="128">
        <f>Model!I29*Model!J29</f>
        <v>20000</v>
      </c>
      <c r="N10" s="129">
        <f>Model!AD29</f>
        <v>56</v>
      </c>
      <c r="O10" s="129">
        <f>Model!AH29</f>
        <v>5000</v>
      </c>
      <c r="P10" s="129"/>
      <c r="Q10" s="129"/>
      <c r="R10" s="129"/>
      <c r="S10" s="193"/>
    </row>
    <row r="11" spans="1:19" x14ac:dyDescent="0.2">
      <c r="B11" s="60" t="s">
        <v>24</v>
      </c>
      <c r="C11" s="86"/>
      <c r="D11" s="86"/>
      <c r="E11" s="86"/>
      <c r="F11" s="86"/>
      <c r="G11" s="86"/>
      <c r="H11" s="86"/>
      <c r="I11" s="86"/>
      <c r="J11" s="116"/>
      <c r="K11" s="202"/>
      <c r="M11" s="127" t="s">
        <v>11</v>
      </c>
      <c r="N11" s="86"/>
      <c r="O11" s="86" t="s">
        <v>13</v>
      </c>
      <c r="P11" s="86" t="s">
        <v>25</v>
      </c>
      <c r="Q11" s="86"/>
      <c r="R11" s="86"/>
      <c r="S11" s="114"/>
    </row>
    <row r="12" spans="1:19" x14ac:dyDescent="0.2">
      <c r="B12" s="113" t="s">
        <v>26</v>
      </c>
      <c r="C12" s="110">
        <v>0</v>
      </c>
      <c r="D12" s="110">
        <v>0</v>
      </c>
      <c r="E12" s="110">
        <v>1</v>
      </c>
      <c r="F12" s="110">
        <v>0</v>
      </c>
      <c r="G12" s="110">
        <v>0</v>
      </c>
      <c r="H12" s="110">
        <v>0</v>
      </c>
      <c r="I12" s="195"/>
      <c r="J12" s="195"/>
      <c r="K12" s="201" t="s">
        <v>27</v>
      </c>
      <c r="M12" s="128">
        <f>Model!I31*Model!J31</f>
        <v>30000</v>
      </c>
      <c r="N12" s="129"/>
      <c r="O12" s="129"/>
      <c r="P12" s="129">
        <f>Model!AE31</f>
        <v>45000</v>
      </c>
      <c r="Q12" s="129"/>
      <c r="R12" s="129"/>
      <c r="S12" s="193"/>
    </row>
    <row r="13" spans="1:19" x14ac:dyDescent="0.2">
      <c r="B13" s="69" t="s">
        <v>28</v>
      </c>
      <c r="C13" s="83">
        <v>1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192"/>
      <c r="J13" s="192"/>
      <c r="K13" s="201" t="s">
        <v>29</v>
      </c>
      <c r="M13" s="128">
        <f>Model!I32*Model!J32</f>
        <v>40000</v>
      </c>
      <c r="N13" s="129"/>
      <c r="O13" s="129"/>
      <c r="P13" s="129">
        <f>Model!AE32</f>
        <v>60000</v>
      </c>
      <c r="Q13" s="129"/>
      <c r="R13" s="129"/>
      <c r="S13" s="193"/>
    </row>
    <row r="14" spans="1:19" x14ac:dyDescent="0.2">
      <c r="B14" s="69" t="s">
        <v>30</v>
      </c>
      <c r="C14" s="83">
        <v>0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192"/>
      <c r="J14" s="192"/>
      <c r="K14" s="201" t="s">
        <v>31</v>
      </c>
      <c r="M14" s="128">
        <f>Model!I33*Model!J33</f>
        <v>0</v>
      </c>
      <c r="N14" s="129"/>
      <c r="O14" s="129"/>
      <c r="P14" s="129">
        <f>Model!AE33</f>
        <v>0</v>
      </c>
      <c r="Q14" s="129"/>
      <c r="R14" s="129"/>
      <c r="S14" s="193"/>
    </row>
    <row r="15" spans="1:19" x14ac:dyDescent="0.2">
      <c r="B15" s="70" t="s">
        <v>32</v>
      </c>
      <c r="C15" s="84">
        <v>1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194"/>
      <c r="J15" s="194"/>
      <c r="K15" s="201" t="s">
        <v>33</v>
      </c>
      <c r="M15" s="128">
        <f>Model!I34*Model!J34</f>
        <v>20000</v>
      </c>
      <c r="N15" s="129"/>
      <c r="O15" s="129">
        <f>Model!AH34</f>
        <v>5000</v>
      </c>
      <c r="P15" s="129">
        <f>Model!AE34</f>
        <v>120000</v>
      </c>
      <c r="Q15" s="129"/>
      <c r="R15" s="129"/>
      <c r="S15" s="193"/>
    </row>
    <row r="16" spans="1:19" x14ac:dyDescent="0.2">
      <c r="B16" s="118" t="s">
        <v>34</v>
      </c>
      <c r="C16" s="116"/>
      <c r="D16" s="116"/>
      <c r="E16" s="116"/>
      <c r="F16" s="116"/>
      <c r="G16" s="116"/>
      <c r="H16" s="116"/>
      <c r="I16" s="116"/>
      <c r="J16" s="116"/>
      <c r="K16" s="202"/>
      <c r="M16" s="127" t="s">
        <v>11</v>
      </c>
      <c r="N16" s="86"/>
      <c r="O16" s="86" t="s">
        <v>13</v>
      </c>
      <c r="P16" s="86"/>
      <c r="Q16" s="86"/>
      <c r="R16" s="86"/>
      <c r="S16" s="114"/>
    </row>
    <row r="17" spans="2:19" x14ac:dyDescent="0.2">
      <c r="B17" s="113" t="s">
        <v>35</v>
      </c>
      <c r="C17" s="110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195"/>
      <c r="J17" s="195"/>
      <c r="K17" s="201" t="s">
        <v>36</v>
      </c>
      <c r="M17" s="128">
        <f>Model!I35*Model!J35</f>
        <v>0</v>
      </c>
      <c r="N17" s="129"/>
      <c r="O17" s="129">
        <f>Model!AH35</f>
        <v>0</v>
      </c>
      <c r="P17" s="129"/>
      <c r="Q17" s="129"/>
      <c r="R17" s="129"/>
      <c r="S17" s="193"/>
    </row>
    <row r="18" spans="2:19" x14ac:dyDescent="0.2">
      <c r="B18" s="69" t="s">
        <v>37</v>
      </c>
      <c r="C18" s="83">
        <v>2</v>
      </c>
      <c r="D18" s="83">
        <v>2</v>
      </c>
      <c r="E18" s="83">
        <v>0</v>
      </c>
      <c r="F18" s="83">
        <v>0</v>
      </c>
      <c r="G18" s="83">
        <v>0</v>
      </c>
      <c r="H18" s="83">
        <v>0</v>
      </c>
      <c r="I18" s="192"/>
      <c r="J18" s="192"/>
      <c r="K18" s="201" t="s">
        <v>38</v>
      </c>
      <c r="M18" s="128">
        <f>Model!I36*Model!J36</f>
        <v>80000</v>
      </c>
      <c r="N18" s="129"/>
      <c r="O18" s="129">
        <f>Model!AH36</f>
        <v>40000</v>
      </c>
      <c r="P18" s="129"/>
      <c r="Q18" s="129"/>
      <c r="R18" s="129"/>
      <c r="S18" s="193"/>
    </row>
    <row r="19" spans="2:19" x14ac:dyDescent="0.2">
      <c r="B19" s="69" t="s">
        <v>39</v>
      </c>
      <c r="C19" s="83">
        <v>0</v>
      </c>
      <c r="D19" s="83">
        <v>0</v>
      </c>
      <c r="E19" s="83">
        <v>0</v>
      </c>
      <c r="F19" s="83">
        <v>0</v>
      </c>
      <c r="G19" s="83">
        <v>1</v>
      </c>
      <c r="H19" s="85"/>
      <c r="I19" s="192"/>
      <c r="J19" s="192"/>
      <c r="K19" s="201" t="s">
        <v>40</v>
      </c>
      <c r="M19" s="128">
        <f>Model!I37*Model!J37</f>
        <v>50000</v>
      </c>
      <c r="N19" s="129"/>
      <c r="O19" s="129">
        <f>Model!AH37</f>
        <v>40000</v>
      </c>
      <c r="P19" s="129"/>
      <c r="Q19" s="129"/>
      <c r="R19" s="129"/>
      <c r="S19" s="193"/>
    </row>
    <row r="20" spans="2:19" x14ac:dyDescent="0.2">
      <c r="B20" s="70" t="s">
        <v>41</v>
      </c>
      <c r="C20" s="84">
        <v>0</v>
      </c>
      <c r="D20" s="84">
        <v>0</v>
      </c>
      <c r="E20" s="111"/>
      <c r="F20" s="111"/>
      <c r="G20" s="111"/>
      <c r="H20" s="111"/>
      <c r="I20" s="194"/>
      <c r="J20" s="194"/>
      <c r="K20" s="201" t="s">
        <v>42</v>
      </c>
      <c r="M20" s="128">
        <f>Model!I38*Model!J38</f>
        <v>0</v>
      </c>
      <c r="N20" s="129"/>
      <c r="O20" s="129">
        <f>Model!AH38</f>
        <v>0</v>
      </c>
      <c r="P20" s="129"/>
      <c r="Q20" s="129"/>
      <c r="R20" s="129"/>
      <c r="S20" s="193"/>
    </row>
    <row r="21" spans="2:19" x14ac:dyDescent="0.2">
      <c r="B21" s="118" t="s">
        <v>43</v>
      </c>
      <c r="C21" s="116"/>
      <c r="D21" s="116"/>
      <c r="E21" s="116"/>
      <c r="F21" s="116"/>
      <c r="G21" s="116"/>
      <c r="H21" s="116"/>
      <c r="I21" s="116"/>
      <c r="J21" s="116"/>
      <c r="K21" s="202"/>
      <c r="M21" s="127" t="s">
        <v>11</v>
      </c>
      <c r="N21" s="86" t="s">
        <v>12</v>
      </c>
      <c r="O21" s="86" t="s">
        <v>13</v>
      </c>
      <c r="P21" s="86" t="s">
        <v>25</v>
      </c>
      <c r="Q21" s="86" t="s">
        <v>44</v>
      </c>
      <c r="R21" s="86" t="s">
        <v>45</v>
      </c>
      <c r="S21" s="114"/>
    </row>
    <row r="22" spans="2:19" x14ac:dyDescent="0.2">
      <c r="B22" s="113" t="s">
        <v>46</v>
      </c>
      <c r="C22" s="112"/>
      <c r="D22" s="110" t="s">
        <v>586</v>
      </c>
      <c r="E22" s="112"/>
      <c r="F22" s="112"/>
      <c r="G22" s="112"/>
      <c r="H22" s="112"/>
      <c r="I22" s="172" t="s">
        <v>47</v>
      </c>
      <c r="J22" s="172"/>
      <c r="K22" s="201" t="s">
        <v>48</v>
      </c>
      <c r="M22" s="128">
        <f>Model!I40*Model!J40</f>
        <v>0</v>
      </c>
      <c r="N22" s="129">
        <f>Model!AD40</f>
        <v>0</v>
      </c>
      <c r="O22" s="129">
        <f>Model!AH40</f>
        <v>0</v>
      </c>
      <c r="P22" s="129">
        <f>Model!AE40</f>
        <v>0</v>
      </c>
      <c r="Q22" s="129">
        <f>Model!AI40</f>
        <v>0</v>
      </c>
      <c r="R22" s="129">
        <f>Model!AJ40</f>
        <v>0</v>
      </c>
      <c r="S22" s="193"/>
    </row>
    <row r="23" spans="2:19" x14ac:dyDescent="0.2">
      <c r="B23" s="69" t="s">
        <v>49</v>
      </c>
      <c r="C23" s="85"/>
      <c r="D23" s="85"/>
      <c r="E23" s="115" t="s">
        <v>43</v>
      </c>
      <c r="F23" s="85"/>
      <c r="G23" s="85"/>
      <c r="H23" s="85"/>
      <c r="I23" s="173" t="s">
        <v>47</v>
      </c>
      <c r="J23" s="173"/>
      <c r="K23" s="201" t="s">
        <v>50</v>
      </c>
      <c r="M23" s="128">
        <f>Model!I41*Model!J41</f>
        <v>20000</v>
      </c>
      <c r="N23" s="129">
        <f>Model!AD41</f>
        <v>30</v>
      </c>
      <c r="O23" s="129">
        <f>Model!AH41</f>
        <v>5000</v>
      </c>
      <c r="P23" s="129">
        <f>Model!AE41</f>
        <v>3500</v>
      </c>
      <c r="Q23" s="129">
        <f>Model!AI41</f>
        <v>3500</v>
      </c>
      <c r="R23" s="129">
        <f>Model!AJ41</f>
        <v>0</v>
      </c>
      <c r="S23" s="193"/>
    </row>
    <row r="24" spans="2:19" x14ac:dyDescent="0.2">
      <c r="B24" s="70" t="s">
        <v>51</v>
      </c>
      <c r="C24" s="111"/>
      <c r="D24" s="111"/>
      <c r="E24" s="111"/>
      <c r="F24" s="84" t="s">
        <v>43</v>
      </c>
      <c r="G24" s="111"/>
      <c r="H24" s="111"/>
      <c r="I24" s="174" t="s">
        <v>47</v>
      </c>
      <c r="J24" s="174"/>
      <c r="K24" s="201" t="s">
        <v>52</v>
      </c>
      <c r="M24" s="128">
        <f>Model!I42*Model!J42</f>
        <v>40000</v>
      </c>
      <c r="N24" s="129">
        <f>Model!AD42</f>
        <v>40</v>
      </c>
      <c r="O24" s="129">
        <f>Model!AH42</f>
        <v>5000</v>
      </c>
      <c r="P24" s="129">
        <f>Model!AE42</f>
        <v>10000</v>
      </c>
      <c r="Q24" s="129">
        <f>Model!AI42</f>
        <v>0</v>
      </c>
      <c r="R24" s="129">
        <f>Model!AJ42</f>
        <v>10000</v>
      </c>
      <c r="S24" s="193"/>
    </row>
    <row r="25" spans="2:19" x14ac:dyDescent="0.2">
      <c r="B25" s="68" t="s">
        <v>53</v>
      </c>
      <c r="C25" s="204"/>
      <c r="D25" s="204"/>
      <c r="E25" s="204"/>
      <c r="F25" s="204"/>
      <c r="G25" s="204"/>
      <c r="H25" s="204"/>
      <c r="I25" s="204"/>
      <c r="J25" s="205"/>
      <c r="K25" s="202"/>
      <c r="M25" s="127" t="s">
        <v>11</v>
      </c>
      <c r="N25" s="86"/>
      <c r="O25" s="86" t="s">
        <v>13</v>
      </c>
      <c r="P25" s="86"/>
      <c r="Q25" s="86"/>
      <c r="R25" s="86"/>
      <c r="S25" s="114"/>
    </row>
    <row r="26" spans="2:19" x14ac:dyDescent="0.2">
      <c r="B26" s="69" t="s">
        <v>53</v>
      </c>
      <c r="C26" s="83">
        <v>1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192"/>
      <c r="J26" s="192"/>
      <c r="K26" s="201" t="s">
        <v>48</v>
      </c>
      <c r="M26" s="128">
        <f>Model!I30*Model!J30</f>
        <v>20000</v>
      </c>
      <c r="N26" s="129"/>
      <c r="O26" s="129"/>
      <c r="P26" s="129"/>
      <c r="Q26" s="129"/>
      <c r="R26" s="129"/>
      <c r="S26" s="193"/>
    </row>
    <row r="27" spans="2:19" x14ac:dyDescent="0.2">
      <c r="B27" s="68" t="s">
        <v>54</v>
      </c>
      <c r="C27" s="204"/>
      <c r="D27" s="204"/>
      <c r="E27" s="204"/>
      <c r="F27" s="204"/>
      <c r="G27" s="204"/>
      <c r="H27" s="204"/>
      <c r="I27" s="204"/>
      <c r="J27" s="205"/>
      <c r="K27" s="316"/>
      <c r="M27" s="127" t="s">
        <v>11</v>
      </c>
      <c r="N27" s="86"/>
      <c r="O27" s="86" t="s">
        <v>13</v>
      </c>
      <c r="P27" s="86"/>
      <c r="Q27" s="86"/>
      <c r="R27" s="86"/>
      <c r="S27" s="114"/>
    </row>
    <row r="28" spans="2:19" x14ac:dyDescent="0.2">
      <c r="B28" s="69" t="s">
        <v>55</v>
      </c>
      <c r="C28" s="83">
        <v>0</v>
      </c>
      <c r="D28" s="83">
        <v>2</v>
      </c>
      <c r="E28" s="83">
        <v>0</v>
      </c>
      <c r="F28" s="83">
        <v>0</v>
      </c>
      <c r="G28" s="83">
        <v>0</v>
      </c>
      <c r="H28" s="83">
        <v>2</v>
      </c>
      <c r="I28" s="192"/>
      <c r="J28" s="192"/>
      <c r="K28" s="201" t="s">
        <v>56</v>
      </c>
      <c r="M28" s="128">
        <f>Model!I43*Model!J43</f>
        <v>20000</v>
      </c>
      <c r="N28" s="129"/>
      <c r="O28" s="129"/>
      <c r="P28" s="129"/>
      <c r="Q28" s="129"/>
      <c r="R28" s="129"/>
      <c r="S28" s="193"/>
    </row>
    <row r="29" spans="2:19" x14ac:dyDescent="0.2">
      <c r="B29" s="69" t="s">
        <v>57</v>
      </c>
      <c r="C29" s="83">
        <v>0</v>
      </c>
      <c r="D29" s="83">
        <v>0</v>
      </c>
      <c r="E29" s="83">
        <v>0</v>
      </c>
      <c r="F29" s="83">
        <v>0</v>
      </c>
      <c r="G29" s="83">
        <v>1</v>
      </c>
      <c r="H29" s="83">
        <v>0</v>
      </c>
      <c r="I29" s="192"/>
      <c r="J29" s="192"/>
      <c r="K29" s="201" t="s">
        <v>58</v>
      </c>
      <c r="M29" s="128">
        <f>Model!I44*Model!J44</f>
        <v>10000</v>
      </c>
      <c r="N29" s="129"/>
      <c r="O29" s="129"/>
      <c r="P29" s="129"/>
      <c r="Q29" s="129"/>
      <c r="R29" s="129"/>
      <c r="S29" s="193"/>
    </row>
    <row r="30" spans="2:19" x14ac:dyDescent="0.2">
      <c r="B30" s="70" t="s">
        <v>59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194"/>
      <c r="J30" s="194"/>
      <c r="K30" s="203" t="s">
        <v>58</v>
      </c>
      <c r="M30" s="135">
        <f>Model!I45*Model!J45</f>
        <v>0</v>
      </c>
      <c r="N30" s="136"/>
      <c r="O30" s="136"/>
      <c r="P30" s="136"/>
      <c r="Q30" s="136"/>
      <c r="R30" s="136"/>
      <c r="S30" s="167"/>
    </row>
    <row r="31" spans="2:19" ht="7.5" customHeight="1" x14ac:dyDescent="0.2">
      <c r="M31" s="130"/>
      <c r="N31" s="131"/>
      <c r="O31" s="131"/>
      <c r="P31" s="131"/>
      <c r="Q31" s="131"/>
      <c r="R31" s="131"/>
      <c r="S31" s="190"/>
    </row>
    <row r="32" spans="2:19" x14ac:dyDescent="0.2">
      <c r="B32" s="60" t="s">
        <v>60</v>
      </c>
      <c r="C32" s="86"/>
      <c r="D32" s="86"/>
      <c r="E32" s="86"/>
      <c r="F32" s="86"/>
      <c r="G32" s="86"/>
      <c r="H32" s="86"/>
      <c r="I32" s="86"/>
      <c r="J32" s="116"/>
      <c r="K32" s="191"/>
      <c r="M32" s="132"/>
      <c r="N32" s="133"/>
      <c r="O32" s="133"/>
      <c r="P32" s="133"/>
      <c r="Q32" s="133"/>
      <c r="R32" s="133"/>
      <c r="S32" s="190"/>
    </row>
    <row r="33" spans="2:19" x14ac:dyDescent="0.2">
      <c r="B33" s="58"/>
      <c r="C33" s="33" t="s">
        <v>3</v>
      </c>
      <c r="D33" s="33" t="s">
        <v>4</v>
      </c>
      <c r="E33" s="33" t="s">
        <v>5</v>
      </c>
      <c r="F33" s="33" t="s">
        <v>6</v>
      </c>
      <c r="G33" s="33" t="s">
        <v>7</v>
      </c>
      <c r="H33" s="33" t="s">
        <v>8</v>
      </c>
      <c r="I33" s="34" t="s">
        <v>61</v>
      </c>
      <c r="J33" s="87"/>
      <c r="M33" s="134"/>
      <c r="N33" s="133"/>
      <c r="O33" s="133"/>
      <c r="P33" s="133"/>
      <c r="Q33" s="133"/>
      <c r="R33" s="133"/>
      <c r="S33" s="190"/>
    </row>
    <row r="34" spans="2:19" x14ac:dyDescent="0.2">
      <c r="B34" s="113" t="s">
        <v>62</v>
      </c>
      <c r="C34" s="119">
        <v>120000</v>
      </c>
      <c r="D34" s="119">
        <v>120000</v>
      </c>
      <c r="E34" s="119">
        <v>80000</v>
      </c>
      <c r="F34" s="119">
        <v>80000</v>
      </c>
      <c r="G34" s="119">
        <v>60000</v>
      </c>
      <c r="H34" s="119">
        <v>40000</v>
      </c>
      <c r="I34" s="196">
        <f>SUM(C34:H34)</f>
        <v>500000</v>
      </c>
      <c r="J34" s="197"/>
      <c r="M34" s="134"/>
      <c r="N34" s="133"/>
      <c r="O34" s="133"/>
      <c r="P34" s="133"/>
      <c r="Q34" s="133"/>
      <c r="R34" s="133"/>
      <c r="S34" s="190"/>
    </row>
    <row r="35" spans="2:19" x14ac:dyDescent="0.2">
      <c r="B35" s="70" t="s">
        <v>63</v>
      </c>
      <c r="C35" s="79">
        <f>Model!C15</f>
        <v>120000</v>
      </c>
      <c r="D35" s="79">
        <f>Model!D15</f>
        <v>120000</v>
      </c>
      <c r="E35" s="79">
        <f>Model!E15</f>
        <v>80000</v>
      </c>
      <c r="F35" s="79">
        <f>Model!F15</f>
        <v>80000</v>
      </c>
      <c r="G35" s="79">
        <f>Model!G15</f>
        <v>60000</v>
      </c>
      <c r="H35" s="79">
        <f>Model!H15</f>
        <v>40000</v>
      </c>
      <c r="I35" s="198">
        <f t="shared" ref="I35:I36" si="0">SUM(C35:H35)</f>
        <v>500000</v>
      </c>
      <c r="J35" s="199"/>
      <c r="M35" s="80">
        <f>SUM(M6:M30)</f>
        <v>500000</v>
      </c>
      <c r="N35" s="124">
        <f t="shared" ref="N35:S35" si="1">SUM(N6:N30)</f>
        <v>378</v>
      </c>
      <c r="O35" s="124">
        <f t="shared" si="1"/>
        <v>105000</v>
      </c>
      <c r="P35" s="124">
        <f>SUM(P6:P30)</f>
        <v>238500</v>
      </c>
      <c r="Q35" s="124">
        <f t="shared" si="1"/>
        <v>3500</v>
      </c>
      <c r="R35" s="124">
        <f t="shared" si="1"/>
        <v>10000</v>
      </c>
      <c r="S35" s="93">
        <f t="shared" si="1"/>
        <v>0</v>
      </c>
    </row>
    <row r="36" spans="2:19" x14ac:dyDescent="0.2">
      <c r="B36" s="58" t="s">
        <v>64</v>
      </c>
      <c r="C36" s="117">
        <f t="shared" ref="C36:H36" si="2">C35-C34</f>
        <v>0</v>
      </c>
      <c r="D36" s="117">
        <f t="shared" si="2"/>
        <v>0</v>
      </c>
      <c r="E36" s="117">
        <f t="shared" si="2"/>
        <v>0</v>
      </c>
      <c r="F36" s="117">
        <f t="shared" si="2"/>
        <v>0</v>
      </c>
      <c r="G36" s="117">
        <f t="shared" si="2"/>
        <v>0</v>
      </c>
      <c r="H36" s="117">
        <f t="shared" si="2"/>
        <v>0</v>
      </c>
      <c r="I36" s="117">
        <f t="shared" si="0"/>
        <v>0</v>
      </c>
      <c r="J36" s="88"/>
      <c r="M36" s="126"/>
      <c r="N36" s="126"/>
      <c r="O36" s="126"/>
      <c r="P36" s="126"/>
      <c r="Q36" s="126"/>
      <c r="R36" s="126"/>
      <c r="S36" s="6"/>
    </row>
    <row r="37" spans="2:19" x14ac:dyDescent="0.2">
      <c r="C37" s="321" t="str">
        <f>IF(C36&gt;0,"OVERBUILT","")</f>
        <v/>
      </c>
      <c r="D37" s="321" t="str">
        <f t="shared" ref="D37:I37" si="3">IF(D36&gt;0,"OVERBUILT","")</f>
        <v/>
      </c>
      <c r="E37" s="321" t="str">
        <f t="shared" si="3"/>
        <v/>
      </c>
      <c r="F37" s="321" t="str">
        <f t="shared" si="3"/>
        <v/>
      </c>
      <c r="G37" s="321" t="str">
        <f t="shared" si="3"/>
        <v/>
      </c>
      <c r="H37" s="321" t="str">
        <f t="shared" si="3"/>
        <v/>
      </c>
      <c r="I37" s="321" t="str">
        <f t="shared" si="3"/>
        <v/>
      </c>
    </row>
    <row r="38" spans="2:19" x14ac:dyDescent="0.2">
      <c r="B38" s="60" t="s">
        <v>65</v>
      </c>
      <c r="C38" s="86"/>
      <c r="D38" s="86"/>
      <c r="E38" s="86"/>
      <c r="F38" s="86"/>
      <c r="G38" s="86"/>
      <c r="H38" s="86"/>
      <c r="I38" s="86"/>
      <c r="J38" s="116"/>
    </row>
    <row r="39" spans="2:19" x14ac:dyDescent="0.2">
      <c r="B39" s="58"/>
      <c r="C39" s="33" t="s">
        <v>3</v>
      </c>
      <c r="D39" s="33" t="s">
        <v>4</v>
      </c>
      <c r="E39" s="33" t="s">
        <v>5</v>
      </c>
      <c r="F39" s="33" t="s">
        <v>6</v>
      </c>
      <c r="G39" s="33" t="s">
        <v>7</v>
      </c>
      <c r="H39" s="33" t="s">
        <v>8</v>
      </c>
      <c r="I39" s="34" t="s">
        <v>61</v>
      </c>
      <c r="J39" s="87"/>
    </row>
    <row r="40" spans="2:19" x14ac:dyDescent="0.2">
      <c r="B40" s="113" t="s">
        <v>66</v>
      </c>
      <c r="C40" s="119">
        <f>C35-C41</f>
        <v>80000</v>
      </c>
      <c r="D40" s="119">
        <f t="shared" ref="D40:H40" si="4">D35-D41</f>
        <v>100000</v>
      </c>
      <c r="E40" s="119">
        <f t="shared" si="4"/>
        <v>65000</v>
      </c>
      <c r="F40" s="119">
        <f t="shared" si="4"/>
        <v>80000</v>
      </c>
      <c r="G40" s="119">
        <f t="shared" si="4"/>
        <v>50000</v>
      </c>
      <c r="H40" s="119">
        <f t="shared" si="4"/>
        <v>40000</v>
      </c>
      <c r="I40" s="196">
        <f>SUM(C40:H40)</f>
        <v>415000</v>
      </c>
      <c r="J40" s="197"/>
    </row>
    <row r="41" spans="2:19" x14ac:dyDescent="0.2">
      <c r="B41" s="69" t="s">
        <v>67</v>
      </c>
      <c r="C41" s="637">
        <f>Model!C20</f>
        <v>40000</v>
      </c>
      <c r="D41" s="637">
        <f>Model!D20</f>
        <v>20000</v>
      </c>
      <c r="E41" s="637">
        <f>Model!E20</f>
        <v>15000</v>
      </c>
      <c r="F41" s="637">
        <f>Model!F20</f>
        <v>0</v>
      </c>
      <c r="G41" s="637">
        <f>Model!G20</f>
        <v>10000</v>
      </c>
      <c r="H41" s="637">
        <f>Model!H20</f>
        <v>0</v>
      </c>
      <c r="I41" s="638">
        <f>SUM(C41:H41)</f>
        <v>85000</v>
      </c>
      <c r="J41" s="639"/>
    </row>
    <row r="42" spans="2:19" x14ac:dyDescent="0.2">
      <c r="B42" s="58" t="s">
        <v>68</v>
      </c>
      <c r="C42" s="117">
        <f>SUM(C40:C41)</f>
        <v>120000</v>
      </c>
      <c r="D42" s="117">
        <f t="shared" ref="D42:H42" si="5">SUM(D40:D41)</f>
        <v>120000</v>
      </c>
      <c r="E42" s="117">
        <f t="shared" si="5"/>
        <v>80000</v>
      </c>
      <c r="F42" s="117">
        <f t="shared" si="5"/>
        <v>80000</v>
      </c>
      <c r="G42" s="117">
        <f t="shared" si="5"/>
        <v>60000</v>
      </c>
      <c r="H42" s="117">
        <f t="shared" si="5"/>
        <v>40000</v>
      </c>
      <c r="I42" s="117">
        <f t="shared" ref="I42" si="6">SUM(C42:H42)</f>
        <v>500000</v>
      </c>
      <c r="J42" s="88"/>
    </row>
    <row r="43" spans="2:19" x14ac:dyDescent="0.2"/>
  </sheetData>
  <sheetProtection algorithmName="SHA-512" hashValue="qPyr4wOZibqJQnSwnlaZPJxLJN2mHA6PNkS1dwHMvOQIMTnvYkTKj+85gMPGWnqLpDncmf4tNBApzU19JhQjag==" saltValue="CEBeLhw+dUwhFcoBf5IuEw==" spinCount="100000" sheet="1" objects="1" scenarios="1"/>
  <conditionalFormatting sqref="C36:I36">
    <cfRule type="expression" dxfId="18" priority="15">
      <formula>C36&gt;0</formula>
    </cfRule>
    <cfRule type="expression" dxfId="17" priority="16">
      <formula>C36&lt;0</formula>
    </cfRule>
  </conditionalFormatting>
  <conditionalFormatting sqref="C37:J37">
    <cfRule type="expression" dxfId="16" priority="5">
      <formula>C36&gt;0</formula>
    </cfRule>
  </conditionalFormatting>
  <dataValidations count="12">
    <dataValidation type="whole" allowBlank="1" showInputMessage="1" showErrorMessage="1" sqref="C22:C24 F23 E22:H22 E20:H20 G23:H24 E24 D23:D24 H19" xr:uid="{95DDBFB4-18FC-41F7-864E-54B999E11DA9}">
      <formula1>0</formula1>
      <formula2>0</formula2>
    </dataValidation>
    <dataValidation type="list" allowBlank="1" showInputMessage="1" showErrorMessage="1" sqref="C20:D20 C26:H26 H12:H14 E13:E14 G13:G14 C19:G19" xr:uid="{6F8AC4B3-8546-41DF-87FF-90E0CCD28166}">
      <formula1>"0,1"</formula1>
    </dataValidation>
    <dataValidation type="list" allowBlank="1" showInputMessage="1" showErrorMessage="1" sqref="C29:D30 G28 C17:D17 C6:D6 E28" xr:uid="{0C3FC5B0-5DD1-41A8-93D4-87F7C6A6ED02}">
      <formula1>"0,1,2,3,4,5,6,7,8,9,10,11,12"</formula1>
    </dataValidation>
    <dataValidation type="list" allowBlank="1" showInputMessage="1" showErrorMessage="1" sqref="F17 H28 F6 F29:F30" xr:uid="{E2554A27-FBFD-4551-9B13-1355BB8990AE}">
      <formula1>"0,1,2,3,4,5,6,7,8"</formula1>
    </dataValidation>
    <dataValidation type="list" allowBlank="1" showInputMessage="1" showErrorMessage="1" sqref="G29:G30 C7:D8 E6 G6 D10 C15:D15 E17 G17 C18:D18 E29:E30 C9 C10 D9" xr:uid="{6C08E3A4-0171-45CA-80A1-B2F56E73092B}">
      <formula1>"0,1,2,3,4,5,6"</formula1>
    </dataValidation>
    <dataValidation type="list" allowBlank="1" showInputMessage="1" showErrorMessage="1" sqref="H29:H30 F18 F7:F8 C12:D12 H6 F10 F15 H17 F9" xr:uid="{ACADF400-ED48-42B5-9C77-E227161F03D6}">
      <formula1>"0,1,2,3,4"</formula1>
    </dataValidation>
    <dataValidation type="list" allowBlank="1" showInputMessage="1" showErrorMessage="1" sqref="C28:D28" xr:uid="{ABAC6DDD-D286-4CD1-9E70-A5FFC42AAAA4}">
      <formula1>"0,1,2,3,4,5,6,7,8,9,10,11,12,13,14,15,16,17,18,19,20,21,22,23,24"</formula1>
    </dataValidation>
    <dataValidation type="list" allowBlank="1" showInputMessage="1" showErrorMessage="1" sqref="F28" xr:uid="{A0A796CE-541F-4828-AA09-26756EA1AFDB}">
      <formula1>"0,1,2,3,4,5,6,7,8,9,10,11,12,13,14,15,16"</formula1>
    </dataValidation>
    <dataValidation type="list" allowBlank="1" showInputMessage="1" showErrorMessage="1" sqref="G7:G8 E7:E8 C13:D14 E15 G15 E18 G18 E9 E10 G9 G10" xr:uid="{F99E63B7-3D96-4DB5-A559-7693F79C56D3}">
      <formula1>"0,1,2,3"</formula1>
    </dataValidation>
    <dataValidation type="list" allowBlank="1" showInputMessage="1" showErrorMessage="1" sqref="H18 H7:H8 E12 G12 F12:F14 H15 H9:H10 H8" xr:uid="{19842844-1ED3-4375-B1B2-7CF9F36B55EF}">
      <formula1>"0,1,2"</formula1>
    </dataValidation>
    <dataValidation type="list" allowBlank="1" showInputMessage="1" showErrorMessage="1" sqref="F24 D22" xr:uid="{7AA54012-9C2A-4414-958A-E2E4BB2C7F83}">
      <formula1>"Demolish,Rehab"</formula1>
    </dataValidation>
    <dataValidation type="list" allowBlank="1" showInputMessage="1" showErrorMessage="1" sqref="F8" xr:uid="{E7BF9FAB-47E1-4C77-9E38-B632A19BC7EB}">
      <formula1>"0,1,2,3,4,"</formula1>
    </dataValidation>
  </dataValidations>
  <pageMargins left="0.25" right="0.25" top="0.75" bottom="0.75" header="0.3" footer="0.3"/>
  <pageSetup scale="61" fitToWidth="2" orientation="landscape" horizontalDpi="4294967293" verticalDpi="0" r:id="rId1"/>
  <colBreaks count="1" manualBreakCount="1">
    <brk id="12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34A0-BD18-43E2-BCD8-416B9DC0F196}">
  <sheetPr codeName="Sheet2">
    <tabColor theme="7" tint="0.79998168889431442"/>
  </sheetPr>
  <dimension ref="A1:O5"/>
  <sheetViews>
    <sheetView showGridLines="0" workbookViewId="0">
      <selection activeCell="K36" sqref="K36"/>
    </sheetView>
  </sheetViews>
  <sheetFormatPr baseColWidth="10" defaultColWidth="8.83203125" defaultRowHeight="15" x14ac:dyDescent="0.2"/>
  <cols>
    <col min="2" max="2" width="10.1640625" bestFit="1" customWidth="1"/>
  </cols>
  <sheetData>
    <row r="1" spans="1:15" x14ac:dyDescent="0.2">
      <c r="A1" s="340">
        <v>0</v>
      </c>
      <c r="B1" s="44">
        <v>0</v>
      </c>
      <c r="C1" s="44">
        <v>0</v>
      </c>
      <c r="D1" s="44">
        <v>0</v>
      </c>
      <c r="E1" s="44">
        <v>0</v>
      </c>
      <c r="F1" s="44">
        <v>0</v>
      </c>
      <c r="G1" s="44">
        <v>0</v>
      </c>
      <c r="H1" s="44">
        <v>0</v>
      </c>
      <c r="I1" s="44">
        <v>0</v>
      </c>
      <c r="J1" s="44">
        <v>0</v>
      </c>
      <c r="K1" s="44">
        <v>0</v>
      </c>
      <c r="L1" s="44">
        <v>0</v>
      </c>
      <c r="M1" s="44">
        <v>0</v>
      </c>
      <c r="N1" s="44">
        <v>0</v>
      </c>
      <c r="O1" s="44">
        <v>0</v>
      </c>
    </row>
    <row r="2" spans="1:15" x14ac:dyDescent="0.2">
      <c r="A2" s="340">
        <v>0.25</v>
      </c>
      <c r="B2" s="44">
        <v>5000</v>
      </c>
      <c r="C2" s="44">
        <v>10000</v>
      </c>
      <c r="D2" s="44">
        <v>15000</v>
      </c>
      <c r="E2" s="44">
        <v>2500</v>
      </c>
      <c r="F2" s="44">
        <v>7000</v>
      </c>
      <c r="G2" s="44">
        <v>2000</v>
      </c>
      <c r="H2" s="44">
        <v>3500</v>
      </c>
      <c r="I2" s="44">
        <v>1500</v>
      </c>
      <c r="J2" s="44">
        <v>5000</v>
      </c>
      <c r="K2" s="44">
        <v>6000</v>
      </c>
      <c r="L2" s="44">
        <v>4000</v>
      </c>
      <c r="M2" s="44">
        <v>5000</v>
      </c>
      <c r="N2" s="44">
        <v>5500</v>
      </c>
      <c r="O2" s="44">
        <v>7500</v>
      </c>
    </row>
    <row r="3" spans="1:15" x14ac:dyDescent="0.2">
      <c r="A3" s="340">
        <v>0.5</v>
      </c>
      <c r="B3" s="44">
        <v>10000</v>
      </c>
    </row>
    <row r="4" spans="1:15" x14ac:dyDescent="0.2">
      <c r="A4" s="340">
        <v>0.75</v>
      </c>
      <c r="B4" s="44">
        <v>15000</v>
      </c>
    </row>
    <row r="5" spans="1:15" x14ac:dyDescent="0.2">
      <c r="A5" s="340">
        <v>1</v>
      </c>
      <c r="B5" s="44">
        <v>20000</v>
      </c>
    </row>
  </sheetData>
  <sheetProtection sheet="1" objects="1" scenarios="1" selectLockedCells="1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EFAFC-CF4B-4E5C-A37C-C6715C1C1A8E}">
  <sheetPr codeName="Sheet3">
    <tabColor theme="7" tint="0.79998168889431442"/>
    <pageSetUpPr fitToPage="1"/>
  </sheetPr>
  <dimension ref="A1:BT64"/>
  <sheetViews>
    <sheetView showGridLines="0" workbookViewId="0">
      <selection activeCell="F32" sqref="F32"/>
    </sheetView>
  </sheetViews>
  <sheetFormatPr baseColWidth="10" defaultColWidth="0" defaultRowHeight="15" zeroHeight="1" x14ac:dyDescent="0.2"/>
  <cols>
    <col min="1" max="1" width="2.5" customWidth="1"/>
    <col min="2" max="2" width="11.5" customWidth="1"/>
    <col min="3" max="3" width="8.5" customWidth="1"/>
    <col min="4" max="4" width="25.5" customWidth="1"/>
    <col min="5" max="11" width="15.5" customWidth="1"/>
    <col min="12" max="12" width="1.5" customWidth="1"/>
    <col min="13" max="13" width="6" customWidth="1"/>
    <col min="14" max="14" width="8.5" hidden="1" customWidth="1"/>
  </cols>
  <sheetData>
    <row r="1" spans="1:72" s="1" customFormat="1" x14ac:dyDescent="0.2">
      <c r="A1" s="1" t="s">
        <v>69</v>
      </c>
      <c r="L1" s="71"/>
    </row>
    <row r="2" spans="1:72" s="6" customFormat="1" x14ac:dyDescent="0.2">
      <c r="L2"/>
    </row>
    <row r="3" spans="1:72" x14ac:dyDescent="0.2">
      <c r="B3" s="68" t="s">
        <v>70</v>
      </c>
      <c r="C3" s="75"/>
      <c r="D3" s="75"/>
      <c r="E3" s="123"/>
      <c r="G3" s="60" t="s">
        <v>71</v>
      </c>
      <c r="H3" s="56"/>
      <c r="I3" s="56"/>
      <c r="J3" s="57"/>
    </row>
    <row r="4" spans="1:72" s="138" customFormat="1" ht="16" x14ac:dyDescent="0.2">
      <c r="B4" s="58" t="s">
        <v>72</v>
      </c>
      <c r="C4" s="32"/>
      <c r="D4" s="137"/>
      <c r="E4" s="122" t="s">
        <v>73</v>
      </c>
      <c r="G4" s="150" t="s">
        <v>74</v>
      </c>
      <c r="H4" s="120"/>
      <c r="I4" s="120"/>
      <c r="J4" s="385">
        <f>Costs!H40</f>
        <v>249864999.99999997</v>
      </c>
      <c r="L4"/>
    </row>
    <row r="5" spans="1:72" x14ac:dyDescent="0.2">
      <c r="B5" s="150" t="s">
        <v>75</v>
      </c>
      <c r="C5" s="120"/>
      <c r="D5" s="120"/>
      <c r="E5" s="181">
        <v>0.05</v>
      </c>
      <c r="G5" s="152" t="s">
        <v>76</v>
      </c>
      <c r="H5" s="71"/>
      <c r="I5" s="71"/>
      <c r="J5" s="386">
        <f>J4*0.03</f>
        <v>7495949.9999999991</v>
      </c>
    </row>
    <row r="6" spans="1:72" s="138" customFormat="1" x14ac:dyDescent="0.2">
      <c r="B6" s="151" t="s">
        <v>77</v>
      </c>
      <c r="C6" s="139"/>
      <c r="E6" s="182">
        <v>0.2</v>
      </c>
      <c r="G6" s="151" t="s">
        <v>78</v>
      </c>
      <c r="J6" s="589">
        <v>0.2</v>
      </c>
      <c r="K6" s="634"/>
      <c r="L6"/>
    </row>
    <row r="7" spans="1:72" x14ac:dyDescent="0.2">
      <c r="B7" s="152" t="s">
        <v>79</v>
      </c>
      <c r="C7" s="71"/>
      <c r="D7" s="71"/>
      <c r="E7" s="183">
        <v>0.05</v>
      </c>
      <c r="G7" s="152" t="s">
        <v>80</v>
      </c>
      <c r="H7" s="71"/>
      <c r="I7" s="71"/>
      <c r="J7" s="386">
        <f>J5*J6</f>
        <v>1499190</v>
      </c>
    </row>
    <row r="8" spans="1:72" x14ac:dyDescent="0.2">
      <c r="G8" s="341" t="s">
        <v>81</v>
      </c>
    </row>
    <row r="9" spans="1:72" x14ac:dyDescent="0.2">
      <c r="B9" s="60" t="s">
        <v>82</v>
      </c>
      <c r="C9" s="56"/>
      <c r="D9" s="56"/>
      <c r="E9" s="56"/>
      <c r="F9" s="56"/>
      <c r="G9" s="56"/>
      <c r="H9" s="56"/>
      <c r="I9" s="56"/>
      <c r="J9" s="56"/>
      <c r="K9" s="57"/>
    </row>
    <row r="10" spans="1:72" x14ac:dyDescent="0.2">
      <c r="B10" s="171" t="s">
        <v>83</v>
      </c>
      <c r="C10" s="120"/>
      <c r="D10" s="120"/>
      <c r="E10" s="163" t="str">
        <f>'Block Builder'!D22</f>
        <v>Demolish</v>
      </c>
      <c r="F10" s="164" t="s">
        <v>84</v>
      </c>
      <c r="G10" s="164"/>
      <c r="H10" s="164"/>
      <c r="I10" s="164"/>
      <c r="J10" s="164"/>
      <c r="K10" s="165"/>
    </row>
    <row r="11" spans="1:72" x14ac:dyDescent="0.2">
      <c r="B11" s="153" t="s">
        <v>85</v>
      </c>
      <c r="C11" s="71"/>
      <c r="D11" s="71"/>
      <c r="E11" s="162" t="s">
        <v>86</v>
      </c>
      <c r="F11" s="166" t="s">
        <v>87</v>
      </c>
      <c r="G11" s="166"/>
      <c r="H11" s="166"/>
      <c r="I11" s="166"/>
      <c r="J11" s="166"/>
      <c r="K11" s="167"/>
    </row>
    <row r="12" spans="1:72" s="138" customFormat="1" ht="32" x14ac:dyDescent="0.2">
      <c r="B12" s="159" t="s">
        <v>88</v>
      </c>
      <c r="C12" s="160"/>
      <c r="D12" s="160"/>
      <c r="E12" s="383"/>
      <c r="F12" s="27" t="s">
        <v>89</v>
      </c>
      <c r="G12" s="27" t="s">
        <v>13</v>
      </c>
      <c r="H12" s="27" t="s">
        <v>25</v>
      </c>
      <c r="I12" s="27" t="s">
        <v>90</v>
      </c>
      <c r="J12" s="27" t="s">
        <v>91</v>
      </c>
      <c r="K12" s="161" t="s">
        <v>92</v>
      </c>
      <c r="L12"/>
      <c r="N12" s="13"/>
      <c r="BQ12" s="14"/>
      <c r="BR12" s="14"/>
      <c r="BS12" s="14"/>
      <c r="BT12" s="14"/>
    </row>
    <row r="13" spans="1:72" ht="15.75" customHeight="1" x14ac:dyDescent="0.2">
      <c r="B13" s="140" t="s">
        <v>93</v>
      </c>
      <c r="E13" s="144"/>
      <c r="F13" s="145"/>
      <c r="G13" s="97">
        <v>0</v>
      </c>
      <c r="H13" s="94"/>
      <c r="I13" s="98"/>
      <c r="J13" s="99"/>
      <c r="K13" s="73"/>
      <c r="N13" s="3"/>
      <c r="BQ13" s="4"/>
      <c r="BR13" s="4"/>
      <c r="BS13" s="4"/>
      <c r="BT13" s="4"/>
    </row>
    <row r="14" spans="1:72" ht="15.75" customHeight="1" x14ac:dyDescent="0.2">
      <c r="B14" s="140" t="s">
        <v>94</v>
      </c>
      <c r="E14" s="147"/>
      <c r="F14" s="148"/>
      <c r="G14" s="95"/>
      <c r="H14" s="95"/>
      <c r="I14" s="77">
        <v>0</v>
      </c>
      <c r="J14" s="73">
        <f>(IFERROR(I14/12,I14/12)*15000)*Model!$D$40</f>
        <v>0</v>
      </c>
      <c r="K14" s="73"/>
      <c r="N14" s="3"/>
      <c r="BQ14" s="4"/>
      <c r="BR14" s="4"/>
      <c r="BS14" s="4"/>
      <c r="BT14" s="4"/>
    </row>
    <row r="15" spans="1:72" x14ac:dyDescent="0.2">
      <c r="B15" s="140" t="s">
        <v>95</v>
      </c>
      <c r="E15" s="147"/>
      <c r="F15" s="148"/>
      <c r="G15" s="95"/>
      <c r="H15" s="95"/>
      <c r="I15" s="77">
        <v>0</v>
      </c>
      <c r="J15" s="73">
        <f>(IFERROR(I15/12,I15/12)*15000)*Model!$D$40</f>
        <v>0</v>
      </c>
      <c r="K15" s="73"/>
      <c r="N15" s="3"/>
      <c r="BQ15" s="4"/>
      <c r="BR15" s="4"/>
      <c r="BS15" s="4"/>
      <c r="BT15" s="4"/>
    </row>
    <row r="16" spans="1:72" x14ac:dyDescent="0.2">
      <c r="B16" s="140" t="s">
        <v>96</v>
      </c>
      <c r="E16" s="147"/>
      <c r="F16" s="148"/>
      <c r="G16" s="95"/>
      <c r="H16" s="95"/>
      <c r="I16" s="77">
        <v>0</v>
      </c>
      <c r="J16" s="73">
        <f>(IFERROR(I16/12,I16/12)*15000)*Model!$D$40</f>
        <v>0</v>
      </c>
      <c r="K16" s="73"/>
      <c r="BQ16" s="4"/>
      <c r="BR16" s="4"/>
      <c r="BS16" s="4"/>
      <c r="BT16" s="4"/>
    </row>
    <row r="17" spans="2:72" x14ac:dyDescent="0.2">
      <c r="B17" s="69" t="s">
        <v>97</v>
      </c>
      <c r="E17" s="147"/>
      <c r="F17" s="148"/>
      <c r="G17" s="95"/>
      <c r="H17" s="95">
        <f>(60000-SUM(G19,J19))*Model!I40</f>
        <v>0</v>
      </c>
      <c r="I17" s="147"/>
      <c r="J17" s="73"/>
      <c r="K17" s="73"/>
      <c r="BQ17" s="11"/>
      <c r="BR17" s="11"/>
      <c r="BS17" s="11"/>
      <c r="BT17" s="11"/>
    </row>
    <row r="18" spans="2:72" x14ac:dyDescent="0.2">
      <c r="B18" s="69" t="s">
        <v>98</v>
      </c>
      <c r="E18" s="141"/>
      <c r="F18" s="381">
        <f>Model!I39*Model!AM39</f>
        <v>0</v>
      </c>
      <c r="G18" s="96"/>
      <c r="H18" s="96"/>
      <c r="I18" s="141"/>
      <c r="J18" s="100"/>
      <c r="K18" s="73"/>
      <c r="BQ18" s="11"/>
      <c r="BR18" s="11"/>
      <c r="BS18" s="11"/>
      <c r="BT18" s="11"/>
    </row>
    <row r="19" spans="2:72" x14ac:dyDescent="0.2">
      <c r="B19" s="58" t="s">
        <v>99</v>
      </c>
      <c r="C19" s="32"/>
      <c r="D19" s="32"/>
      <c r="E19" s="384"/>
      <c r="F19" s="180">
        <f>SUM(F13:F18)</f>
        <v>0</v>
      </c>
      <c r="G19" s="102">
        <f>SUM(G13:G18)*Model!I40</f>
        <v>0</v>
      </c>
      <c r="H19" s="102">
        <f>H17</f>
        <v>0</v>
      </c>
      <c r="I19" s="80">
        <f>SUM(I14:I16)*Model!I40</f>
        <v>0</v>
      </c>
      <c r="J19" s="93">
        <f>SUM(J13:J18)</f>
        <v>0</v>
      </c>
      <c r="K19" s="72">
        <f>G19+H19+J19+F19</f>
        <v>0</v>
      </c>
      <c r="BQ19" s="4"/>
      <c r="BR19" s="4"/>
      <c r="BS19" s="4"/>
      <c r="BT19" s="4"/>
    </row>
    <row r="20" spans="2:72" x14ac:dyDescent="0.2">
      <c r="E20" s="9"/>
      <c r="F20" s="8"/>
      <c r="H20" s="8"/>
      <c r="I20" s="8"/>
      <c r="J20" s="8"/>
      <c r="M20" s="3"/>
      <c r="BQ20" s="4"/>
      <c r="BR20" s="4"/>
      <c r="BS20" s="4"/>
      <c r="BT20" s="4"/>
    </row>
    <row r="21" spans="2:72" x14ac:dyDescent="0.2">
      <c r="B21" s="60" t="s">
        <v>100</v>
      </c>
      <c r="C21" s="56"/>
      <c r="D21" s="56"/>
      <c r="E21" s="56"/>
      <c r="F21" s="56"/>
      <c r="G21" s="56"/>
      <c r="H21" s="56"/>
      <c r="I21" s="56"/>
      <c r="J21" s="56"/>
      <c r="K21" s="56"/>
    </row>
    <row r="22" spans="2:72" s="138" customFormat="1" ht="43.5" customHeight="1" x14ac:dyDescent="0.2">
      <c r="B22" s="63" t="s">
        <v>88</v>
      </c>
      <c r="C22" s="1"/>
      <c r="D22" s="12"/>
      <c r="E22" s="154" t="s">
        <v>101</v>
      </c>
      <c r="F22" s="155" t="s">
        <v>102</v>
      </c>
      <c r="G22" s="155" t="s">
        <v>13</v>
      </c>
      <c r="H22" s="155" t="s">
        <v>25</v>
      </c>
      <c r="I22" s="156" t="s">
        <v>90</v>
      </c>
      <c r="J22" s="121" t="s">
        <v>91</v>
      </c>
      <c r="K22" s="91" t="s">
        <v>92</v>
      </c>
      <c r="L22"/>
      <c r="N22" s="13"/>
      <c r="BQ22" s="14"/>
      <c r="BR22" s="14"/>
      <c r="BS22" s="14"/>
      <c r="BT22" s="14"/>
    </row>
    <row r="23" spans="2:72" x14ac:dyDescent="0.2">
      <c r="B23" s="76" t="s">
        <v>103</v>
      </c>
      <c r="E23" s="107"/>
      <c r="F23" s="108"/>
      <c r="G23" s="97">
        <v>5000</v>
      </c>
      <c r="H23" s="106"/>
      <c r="I23" s="107"/>
      <c r="J23" s="108"/>
      <c r="K23" s="81"/>
      <c r="N23" s="3"/>
      <c r="BQ23" s="4"/>
      <c r="BR23" s="4"/>
      <c r="BS23" s="4"/>
      <c r="BT23" s="4"/>
    </row>
    <row r="24" spans="2:72" x14ac:dyDescent="0.2">
      <c r="B24" s="76" t="s">
        <v>104</v>
      </c>
      <c r="E24" s="59"/>
      <c r="F24" s="81"/>
      <c r="G24" s="104"/>
      <c r="H24" s="104"/>
      <c r="I24" s="77">
        <v>10</v>
      </c>
      <c r="J24" s="73">
        <f>IFERROR(I24/10,I24/10)*12000</f>
        <v>12000</v>
      </c>
      <c r="K24" s="81"/>
      <c r="N24" s="3"/>
      <c r="BQ24" s="4"/>
      <c r="BR24" s="4"/>
      <c r="BS24" s="4"/>
      <c r="BT24" s="4"/>
    </row>
    <row r="25" spans="2:72" x14ac:dyDescent="0.2">
      <c r="B25" s="76" t="s">
        <v>105</v>
      </c>
      <c r="E25" s="59"/>
      <c r="F25" s="81"/>
      <c r="G25" s="104"/>
      <c r="H25" s="104"/>
      <c r="I25" s="77">
        <v>10</v>
      </c>
      <c r="J25" s="73">
        <f>IFERROR(I25/10,I25/10)*12000</f>
        <v>12000</v>
      </c>
      <c r="K25" s="81"/>
      <c r="N25" s="3"/>
      <c r="BQ25" s="4"/>
      <c r="BR25" s="4"/>
      <c r="BS25" s="4"/>
      <c r="BT25" s="4"/>
    </row>
    <row r="26" spans="2:72" x14ac:dyDescent="0.2">
      <c r="B26" s="142" t="s">
        <v>106</v>
      </c>
      <c r="C26" s="71"/>
      <c r="D26" s="71"/>
      <c r="E26" s="82"/>
      <c r="F26" s="103"/>
      <c r="G26" s="101"/>
      <c r="H26" s="101"/>
      <c r="I26" s="109">
        <v>10</v>
      </c>
      <c r="J26" s="100">
        <f>IFERROR(I26/10,I26/10)*12000</f>
        <v>12000</v>
      </c>
      <c r="K26" s="103"/>
      <c r="N26" s="3"/>
      <c r="BQ26" s="4"/>
      <c r="BR26" s="4"/>
      <c r="BS26" s="4"/>
      <c r="BT26" s="4"/>
    </row>
    <row r="27" spans="2:72" x14ac:dyDescent="0.2">
      <c r="B27" s="69" t="s">
        <v>107</v>
      </c>
      <c r="E27" s="77">
        <v>0</v>
      </c>
      <c r="F27" s="81"/>
      <c r="G27" s="104"/>
      <c r="H27" s="104"/>
      <c r="I27" s="59"/>
      <c r="J27" s="81"/>
      <c r="K27" s="81"/>
      <c r="N27" s="3"/>
      <c r="BQ27" s="4"/>
      <c r="BR27" s="4"/>
      <c r="BS27" s="4"/>
      <c r="BT27" s="4"/>
    </row>
    <row r="28" spans="2:72" x14ac:dyDescent="0.2">
      <c r="B28" s="69" t="s">
        <v>108</v>
      </c>
      <c r="E28" s="77">
        <v>0</v>
      </c>
      <c r="F28" s="81"/>
      <c r="G28" s="104"/>
      <c r="H28" s="104"/>
      <c r="I28" s="59"/>
      <c r="J28" s="81"/>
      <c r="K28" s="81"/>
      <c r="N28" s="3"/>
      <c r="BQ28" s="4"/>
      <c r="BR28" s="4"/>
      <c r="BS28" s="4"/>
      <c r="BT28" s="4"/>
    </row>
    <row r="29" spans="2:72" x14ac:dyDescent="0.2">
      <c r="B29" s="69" t="s">
        <v>109</v>
      </c>
      <c r="E29" s="77">
        <v>0</v>
      </c>
      <c r="F29" s="81"/>
      <c r="G29" s="104"/>
      <c r="H29" s="104"/>
      <c r="I29" s="59"/>
      <c r="J29" s="81"/>
      <c r="K29" s="81"/>
      <c r="N29" s="3"/>
      <c r="BQ29" s="4"/>
      <c r="BR29" s="4"/>
      <c r="BS29" s="4"/>
      <c r="BT29" s="4"/>
    </row>
    <row r="30" spans="2:72" x14ac:dyDescent="0.2">
      <c r="B30" s="69" t="s">
        <v>110</v>
      </c>
      <c r="E30" s="77">
        <v>3500</v>
      </c>
      <c r="F30" s="81"/>
      <c r="G30" s="104"/>
      <c r="H30" s="104"/>
      <c r="I30" s="59"/>
      <c r="J30" s="81"/>
      <c r="K30" s="81"/>
      <c r="N30" s="3"/>
      <c r="BQ30" s="4"/>
      <c r="BR30" s="4"/>
      <c r="BS30" s="4"/>
      <c r="BT30" s="4"/>
    </row>
    <row r="31" spans="2:72" x14ac:dyDescent="0.2">
      <c r="B31" s="69" t="s">
        <v>111</v>
      </c>
      <c r="E31" s="77">
        <v>0</v>
      </c>
      <c r="F31" s="81"/>
      <c r="G31" s="104"/>
      <c r="H31" s="104"/>
      <c r="I31" s="59"/>
      <c r="J31" s="81"/>
      <c r="K31" s="81"/>
      <c r="N31" s="3"/>
      <c r="BQ31" s="4"/>
      <c r="BR31" s="4"/>
      <c r="BS31" s="4"/>
      <c r="BT31" s="4"/>
    </row>
    <row r="32" spans="2:72" x14ac:dyDescent="0.2">
      <c r="B32" s="69" t="s">
        <v>112</v>
      </c>
      <c r="E32" s="77">
        <v>0</v>
      </c>
      <c r="F32" s="81"/>
      <c r="G32" s="104"/>
      <c r="H32" s="104"/>
      <c r="I32" s="59"/>
      <c r="J32" s="81"/>
      <c r="K32" s="81"/>
      <c r="N32" s="3"/>
      <c r="BQ32" s="4"/>
      <c r="BR32" s="4"/>
      <c r="BS32" s="4"/>
      <c r="BT32" s="4"/>
    </row>
    <row r="33" spans="2:72" x14ac:dyDescent="0.2">
      <c r="B33" s="69" t="s">
        <v>113</v>
      </c>
      <c r="E33" s="77">
        <v>0</v>
      </c>
      <c r="F33" s="81"/>
      <c r="G33" s="104"/>
      <c r="H33" s="104"/>
      <c r="I33" s="59"/>
      <c r="J33" s="81"/>
      <c r="K33" s="81"/>
      <c r="N33" s="3"/>
      <c r="BQ33" s="4"/>
      <c r="BR33" s="4"/>
      <c r="BS33" s="4"/>
      <c r="BT33" s="4"/>
    </row>
    <row r="34" spans="2:72" x14ac:dyDescent="0.2">
      <c r="B34" s="69" t="s">
        <v>114</v>
      </c>
      <c r="E34" s="77">
        <v>0</v>
      </c>
      <c r="F34" s="81"/>
      <c r="G34" s="104"/>
      <c r="H34" s="104"/>
      <c r="I34" s="59"/>
      <c r="J34" s="81"/>
      <c r="K34" s="81"/>
      <c r="N34" s="3"/>
      <c r="BQ34" s="4"/>
      <c r="BR34" s="4"/>
      <c r="BS34" s="4"/>
      <c r="BT34" s="4"/>
    </row>
    <row r="35" spans="2:72" x14ac:dyDescent="0.2">
      <c r="B35" s="69" t="s">
        <v>115</v>
      </c>
      <c r="E35" s="77">
        <v>0</v>
      </c>
      <c r="F35" s="81"/>
      <c r="G35" s="104"/>
      <c r="H35" s="104"/>
      <c r="I35" s="59"/>
      <c r="J35" s="81"/>
      <c r="K35" s="81"/>
      <c r="N35" s="3"/>
      <c r="BQ35" s="4"/>
      <c r="BR35" s="4"/>
      <c r="BS35" s="4"/>
      <c r="BT35" s="4"/>
    </row>
    <row r="36" spans="2:72" x14ac:dyDescent="0.2">
      <c r="B36" s="69" t="s">
        <v>116</v>
      </c>
      <c r="E36" s="77">
        <v>0</v>
      </c>
      <c r="F36" s="81"/>
      <c r="G36" s="104"/>
      <c r="H36" s="104"/>
      <c r="I36" s="59"/>
      <c r="J36" s="81"/>
      <c r="K36" s="81"/>
      <c r="N36" s="3"/>
      <c r="BQ36" s="4"/>
      <c r="BR36" s="4"/>
      <c r="BS36" s="4"/>
      <c r="BT36" s="4"/>
    </row>
    <row r="37" spans="2:72" x14ac:dyDescent="0.2">
      <c r="B37" s="69" t="s">
        <v>117</v>
      </c>
      <c r="E37" s="77">
        <v>0</v>
      </c>
      <c r="F37" s="81"/>
      <c r="G37" s="104"/>
      <c r="H37" s="104"/>
      <c r="I37" s="59"/>
      <c r="J37" s="81"/>
      <c r="K37" s="81"/>
      <c r="N37" s="3"/>
      <c r="BQ37" s="4"/>
      <c r="BR37" s="4"/>
      <c r="BS37" s="4"/>
      <c r="BT37" s="4"/>
    </row>
    <row r="38" spans="2:72" x14ac:dyDescent="0.2">
      <c r="B38" s="69" t="s">
        <v>118</v>
      </c>
      <c r="E38" s="59"/>
      <c r="F38" s="74">
        <v>0</v>
      </c>
      <c r="G38" s="104"/>
      <c r="H38" s="104"/>
      <c r="I38" s="59"/>
      <c r="J38" s="81"/>
      <c r="K38" s="81"/>
      <c r="N38" s="3"/>
      <c r="BQ38" s="4"/>
      <c r="BR38" s="4"/>
      <c r="BS38" s="4"/>
      <c r="BT38" s="4"/>
    </row>
    <row r="39" spans="2:72" x14ac:dyDescent="0.2">
      <c r="B39" s="69" t="s">
        <v>119</v>
      </c>
      <c r="E39" s="59"/>
      <c r="F39" s="74">
        <v>0</v>
      </c>
      <c r="G39" s="104"/>
      <c r="H39" s="104"/>
      <c r="I39" s="59"/>
      <c r="J39" s="81"/>
      <c r="K39" s="81"/>
      <c r="N39" s="3"/>
      <c r="BQ39" s="4"/>
      <c r="BR39" s="4"/>
      <c r="BS39" s="4"/>
      <c r="BT39" s="4"/>
    </row>
    <row r="40" spans="2:72" x14ac:dyDescent="0.2">
      <c r="B40" s="153" t="s">
        <v>97</v>
      </c>
      <c r="C40" s="71"/>
      <c r="D40" s="71"/>
      <c r="E40" s="82"/>
      <c r="F40" s="103"/>
      <c r="G40" s="101"/>
      <c r="H40" s="320">
        <f>(48000-SUM(G41,J41,E41,F41))*Model!I41</f>
        <v>3500</v>
      </c>
      <c r="I40" s="59"/>
      <c r="J40" s="103"/>
      <c r="K40" s="81"/>
      <c r="N40" s="3"/>
      <c r="BQ40" s="4"/>
      <c r="BR40" s="4"/>
      <c r="BS40" s="4"/>
      <c r="BT40" s="4"/>
    </row>
    <row r="41" spans="2:72" x14ac:dyDescent="0.2">
      <c r="B41" s="63" t="s">
        <v>61</v>
      </c>
      <c r="C41" s="1"/>
      <c r="D41" s="1"/>
      <c r="E41" s="80">
        <f>SUM(E23:E40)</f>
        <v>3500</v>
      </c>
      <c r="F41" s="93">
        <f>SUM(F23:F40)</f>
        <v>0</v>
      </c>
      <c r="G41" s="105">
        <f>SUM(G23:G40)</f>
        <v>5000</v>
      </c>
      <c r="H41" s="322">
        <f>IF(H40&lt;0,"OVERALLOCATED",H40)</f>
        <v>3500</v>
      </c>
      <c r="I41" s="78">
        <f>SUM(I23:I40)</f>
        <v>30</v>
      </c>
      <c r="J41" s="93">
        <f t="shared" ref="J41" si="0">SUM(J23:J40)</f>
        <v>36000</v>
      </c>
      <c r="K41" s="72">
        <f>G41+H41+J41+E41+F41</f>
        <v>48000</v>
      </c>
      <c r="N41" s="3"/>
      <c r="BQ41" s="4"/>
      <c r="BR41" s="4"/>
      <c r="BS41" s="4"/>
      <c r="BT41" s="4"/>
    </row>
    <row r="42" spans="2:72" x14ac:dyDescent="0.2"/>
    <row r="43" spans="2:72" x14ac:dyDescent="0.2">
      <c r="B43" s="60" t="s">
        <v>120</v>
      </c>
      <c r="C43" s="56"/>
      <c r="D43" s="56"/>
      <c r="E43" s="56"/>
      <c r="F43" s="56"/>
      <c r="G43" s="56"/>
      <c r="H43" s="56"/>
      <c r="I43" s="56"/>
      <c r="J43" s="56"/>
      <c r="K43" s="57"/>
    </row>
    <row r="44" spans="2:72" x14ac:dyDescent="0.2">
      <c r="B44" s="157" t="s">
        <v>121</v>
      </c>
      <c r="C44" s="137"/>
      <c r="D44" s="137"/>
      <c r="E44" s="158" t="str">
        <f>'Block Builder'!F24</f>
        <v>Rehab</v>
      </c>
      <c r="F44" s="168" t="s">
        <v>122</v>
      </c>
      <c r="G44" s="169"/>
      <c r="H44" s="611" t="str">
        <f>IF(E44="demolish","ALL INPUTS BELOW ADD TO ZERO","")</f>
        <v/>
      </c>
      <c r="I44" s="169"/>
      <c r="J44" s="169"/>
      <c r="K44" s="170"/>
      <c r="M44" s="3"/>
      <c r="BQ44" s="4"/>
      <c r="BR44" s="4"/>
      <c r="BS44" s="4"/>
      <c r="BT44" s="4"/>
    </row>
    <row r="45" spans="2:72" ht="32" x14ac:dyDescent="0.2">
      <c r="B45" s="63" t="s">
        <v>88</v>
      </c>
      <c r="C45" s="1"/>
      <c r="D45" s="1"/>
      <c r="E45" s="382"/>
      <c r="F45" s="155" t="s">
        <v>102</v>
      </c>
      <c r="G45" s="155" t="s">
        <v>13</v>
      </c>
      <c r="H45" s="155" t="s">
        <v>25</v>
      </c>
      <c r="I45" s="156" t="s">
        <v>90</v>
      </c>
      <c r="J45" s="121" t="s">
        <v>91</v>
      </c>
      <c r="K45" s="91" t="s">
        <v>92</v>
      </c>
      <c r="BQ45" s="4"/>
      <c r="BR45" s="4"/>
      <c r="BS45" s="4"/>
      <c r="BT45" s="4"/>
    </row>
    <row r="46" spans="2:72" x14ac:dyDescent="0.2">
      <c r="B46" s="143" t="s">
        <v>123</v>
      </c>
      <c r="C46" s="120"/>
      <c r="D46" s="120"/>
      <c r="E46" s="144"/>
      <c r="F46" s="99"/>
      <c r="G46" s="97">
        <v>5000</v>
      </c>
      <c r="H46" s="94"/>
      <c r="I46" s="98"/>
      <c r="J46" s="99"/>
      <c r="K46" s="145"/>
      <c r="N46" s="3"/>
      <c r="BQ46" s="4"/>
      <c r="BR46" s="4"/>
      <c r="BS46" s="4"/>
      <c r="BT46" s="4"/>
    </row>
    <row r="47" spans="2:72" x14ac:dyDescent="0.2">
      <c r="B47" s="76" t="s">
        <v>124</v>
      </c>
      <c r="E47" s="147"/>
      <c r="F47" s="73"/>
      <c r="G47" s="146"/>
      <c r="H47" s="95"/>
      <c r="I47" s="77">
        <v>20</v>
      </c>
      <c r="J47" s="73">
        <f>(IFERROR(I47/20,I47/20)*25000)*Model!$F$42</f>
        <v>25000</v>
      </c>
      <c r="K47" s="148"/>
      <c r="N47" s="3"/>
      <c r="BQ47" s="4"/>
      <c r="BR47" s="4"/>
      <c r="BS47" s="4"/>
      <c r="BT47" s="4"/>
    </row>
    <row r="48" spans="2:72" ht="15.75" customHeight="1" x14ac:dyDescent="0.2">
      <c r="B48" s="76" t="s">
        <v>125</v>
      </c>
      <c r="E48" s="147"/>
      <c r="F48" s="73"/>
      <c r="G48" s="146"/>
      <c r="H48" s="95"/>
      <c r="I48" s="77">
        <v>20</v>
      </c>
      <c r="J48" s="73">
        <f>(IFERROR(I48/20,I48/20)*25000)*Model!$F$42</f>
        <v>25000</v>
      </c>
      <c r="K48" s="148"/>
      <c r="N48" s="10"/>
      <c r="BQ48" s="11"/>
      <c r="BR48" s="11"/>
      <c r="BS48" s="11"/>
      <c r="BT48" s="11"/>
    </row>
    <row r="49" spans="2:72" x14ac:dyDescent="0.2">
      <c r="B49" s="69" t="s">
        <v>118</v>
      </c>
      <c r="E49" s="147"/>
      <c r="F49" s="74">
        <v>10000</v>
      </c>
      <c r="G49" s="146"/>
      <c r="H49" s="95"/>
      <c r="I49" s="92"/>
      <c r="J49" s="73"/>
      <c r="K49" s="148"/>
      <c r="N49" s="3"/>
      <c r="BQ49" s="4"/>
      <c r="BR49" s="4"/>
      <c r="BS49" s="4"/>
      <c r="BT49" s="4"/>
    </row>
    <row r="50" spans="2:72" x14ac:dyDescent="0.2">
      <c r="B50" s="69" t="s">
        <v>119</v>
      </c>
      <c r="E50" s="147"/>
      <c r="F50" s="74">
        <v>0</v>
      </c>
      <c r="G50" s="146"/>
      <c r="H50" s="95"/>
      <c r="I50" s="92"/>
      <c r="J50" s="73"/>
      <c r="K50" s="148"/>
      <c r="N50" s="3"/>
      <c r="BQ50" s="4"/>
      <c r="BR50" s="4"/>
      <c r="BS50" s="4"/>
      <c r="BT50" s="4"/>
    </row>
    <row r="51" spans="2:72" x14ac:dyDescent="0.2">
      <c r="B51" s="140" t="s">
        <v>97</v>
      </c>
      <c r="E51" s="147"/>
      <c r="F51" s="73"/>
      <c r="G51" s="149"/>
      <c r="H51" s="101">
        <f>(75000-SUM(G52,J52,F52))*Model!I42</f>
        <v>10000</v>
      </c>
      <c r="I51" s="92"/>
      <c r="J51" s="73"/>
      <c r="K51" s="148"/>
      <c r="N51" s="10"/>
      <c r="BQ51" s="11"/>
      <c r="BR51" s="11"/>
      <c r="BS51" s="11"/>
      <c r="BT51" s="11"/>
    </row>
    <row r="52" spans="2:72" x14ac:dyDescent="0.2">
      <c r="B52" s="58" t="s">
        <v>61</v>
      </c>
      <c r="C52" s="32"/>
      <c r="D52" s="32"/>
      <c r="E52" s="78"/>
      <c r="F52" s="72">
        <f>SUM(F46:F51)*Model!I42</f>
        <v>10000</v>
      </c>
      <c r="G52" s="102">
        <f>SUM(G46:G51)*Model!I42</f>
        <v>5000</v>
      </c>
      <c r="H52" s="323">
        <f>IF(H51&lt;0,"OVERALLOCATED",H51)</f>
        <v>10000</v>
      </c>
      <c r="I52" s="78">
        <f>SUM(I46:I51)*Model!I42</f>
        <v>40</v>
      </c>
      <c r="J52" s="72">
        <f>SUM(J46:J51)</f>
        <v>50000</v>
      </c>
      <c r="K52" s="72">
        <f>G52+H52+J52+F52</f>
        <v>75000</v>
      </c>
      <c r="N52" s="3"/>
      <c r="BQ52" s="4"/>
      <c r="BR52" s="4"/>
      <c r="BS52" s="4"/>
      <c r="BT52" s="4"/>
    </row>
    <row r="53" spans="2:72" x14ac:dyDescent="0.2">
      <c r="I53" s="3"/>
      <c r="N53" s="3"/>
      <c r="BQ53" s="4"/>
      <c r="BR53" s="4"/>
      <c r="BS53" s="4"/>
      <c r="BT53" s="4"/>
    </row>
    <row r="54" spans="2:72" x14ac:dyDescent="0.2">
      <c r="B54" s="330" t="s">
        <v>126</v>
      </c>
      <c r="I54" s="3"/>
      <c r="N54" s="3"/>
      <c r="BQ54" s="4"/>
      <c r="BR54" s="4"/>
      <c r="BS54" s="4"/>
      <c r="BT54" s="4"/>
    </row>
    <row r="55" spans="2:72" x14ac:dyDescent="0.2">
      <c r="B55" s="329" t="s">
        <v>127</v>
      </c>
    </row>
    <row r="56" spans="2:72" x14ac:dyDescent="0.2"/>
    <row r="57" spans="2:72" x14ac:dyDescent="0.2"/>
    <row r="58" spans="2:72" x14ac:dyDescent="0.2"/>
    <row r="59" spans="2:72" x14ac:dyDescent="0.2"/>
    <row r="60" spans="2:72" x14ac:dyDescent="0.2"/>
    <row r="61" spans="2:72" x14ac:dyDescent="0.2"/>
    <row r="62" spans="2:72" x14ac:dyDescent="0.2"/>
    <row r="63" spans="2:72" x14ac:dyDescent="0.2"/>
    <row r="64" spans="2:72" x14ac:dyDescent="0.2"/>
  </sheetData>
  <sheetProtection algorithmName="SHA-512" hashValue="lcB+fPAtcFYLxqc4wx4pXkc80uAwzBtS+5YV60TZ7OGKbJxD+G1qzoeru6aZ0BfQiHdVawt61gX/y9EbGSXDhA==" saltValue="iWMyA/X0GVM8s1XIbkhXnw==" spinCount="100000" sheet="1" objects="1" scenarios="1"/>
  <sortState xmlns:xlrd2="http://schemas.microsoft.com/office/spreadsheetml/2017/richdata2" ref="B27:BT37">
    <sortCondition ref="B27:B37"/>
  </sortState>
  <conditionalFormatting sqref="H41">
    <cfRule type="expression" dxfId="15" priority="10">
      <formula>$H$40&lt;0</formula>
    </cfRule>
  </conditionalFormatting>
  <conditionalFormatting sqref="H52">
    <cfRule type="expression" dxfId="14" priority="4">
      <formula>$H$51&lt;0</formula>
    </cfRule>
  </conditionalFormatting>
  <dataValidations count="9">
    <dataValidation type="decimal" allowBlank="1" showInputMessage="1" showErrorMessage="1" errorTitle="Affordable Housing" error="Must be &gt;= 10%" sqref="E6:E7" xr:uid="{957CDD03-57E8-4568-BFAD-5B835374D833}">
      <formula1>0</formula1>
      <formula2>1</formula2>
    </dataValidation>
    <dataValidation type="list" allowBlank="1" sqref="E11" xr:uid="{8F19E3E5-1E64-4C17-8B78-250B6F83194C}">
      <formula1>"Mixed Use,Shelter"</formula1>
    </dataValidation>
    <dataValidation type="decimal" allowBlank="1" showErrorMessage="1" errorTitle="Affordable Housing" error="Must be a percentage from 0% to 100%" sqref="E5" xr:uid="{69CBBEBA-A77B-46F3-8648-DEB5632789C2}">
      <formula1>0</formula1>
      <formula2>1</formula2>
    </dataValidation>
    <dataValidation type="list" allowBlank="1" showInputMessage="1" showErrorMessage="1" sqref="I15:I16" xr:uid="{153571C2-5326-4C19-9A2D-E9BA464630B2}">
      <formula1>"0,12"</formula1>
    </dataValidation>
    <dataValidation type="list" allowBlank="1" showInputMessage="1" showErrorMessage="1" sqref="I47:I48" xr:uid="{239539A2-032C-4BB1-A6AC-38CFA019E04E}">
      <formula1>"0,20"</formula1>
    </dataValidation>
    <dataValidation type="list" allowBlank="1" showInputMessage="1" showErrorMessage="1" sqref="I24:I26" xr:uid="{F0A1B948-C1A0-4563-B1B6-7222E2228AA8}">
      <formula1>"0,10"</formula1>
    </dataValidation>
    <dataValidation errorStyle="warning" operator="greaterThan" allowBlank="1" showInputMessage="1" showErrorMessage="1" error="REDUCE COMMUNITY SQUARE FOOTAGE.  OFFICE CANNOT BE LESS THAN ZERO SQUARE FEET" sqref="H40" xr:uid="{A949AF05-036E-4838-8111-AAB609F8FC2D}"/>
    <dataValidation type="list" allowBlank="1" sqref="I14" xr:uid="{0ACE7EC2-5F8A-425D-8965-2257186021D5}">
      <formula1>"0,12"</formula1>
    </dataValidation>
    <dataValidation type="decimal" allowBlank="1" showInputMessage="1" showErrorMessage="1" errorTitle="Value Error" error="Value must be between 0.0% and 100% in whole percentages only i.e. 10% not 10.6%._x000a_" sqref="J6" xr:uid="{D7931819-C25A-4E2D-BDC9-A95D95449D0B}">
      <formula1>0</formula1>
      <formula2>1</formula2>
    </dataValidation>
  </dataValidations>
  <pageMargins left="0.25" right="0.25" top="0.75" bottom="0.75" header="0.3" footer="0.3"/>
  <pageSetup scale="64" orientation="portrait" horizontalDpi="4294967293" verticalDpi="1200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xr:uid="{6E3C19BB-C54E-4CCA-B19C-AE38BE38A9D9}">
          <x14:formula1>
            <xm:f>List!$B$1:$B$4</xm:f>
          </x14:formula1>
          <xm:sqref>G13</xm:sqref>
        </x14:dataValidation>
        <x14:dataValidation type="list" allowBlank="1" showInputMessage="1" showErrorMessage="1" xr:uid="{E69FBE33-F36E-43C2-9A33-5D3146712731}">
          <x14:formula1>
            <xm:f>List!$O$1:$O$2</xm:f>
          </x14:formula1>
          <xm:sqref>E27</xm:sqref>
        </x14:dataValidation>
        <x14:dataValidation type="list" allowBlank="1" showInputMessage="1" showErrorMessage="1" xr:uid="{D28DE77B-205C-4C73-8AA9-2C5BEA26109F}">
          <x14:formula1>
            <xm:f>List!$E$1:$E$2</xm:f>
          </x14:formula1>
          <xm:sqref>E28</xm:sqref>
        </x14:dataValidation>
        <x14:dataValidation type="list" allowBlank="1" showInputMessage="1" showErrorMessage="1" xr:uid="{D1930FC7-020D-4BC1-931F-00898891C276}">
          <x14:formula1>
            <xm:f>List!$F$1:$F$2</xm:f>
          </x14:formula1>
          <xm:sqref>E29</xm:sqref>
        </x14:dataValidation>
        <x14:dataValidation type="list" allowBlank="1" showInputMessage="1" showErrorMessage="1" xr:uid="{85211423-A495-46AC-A929-4AB64338F9C7}">
          <x14:formula1>
            <xm:f>List!$H$1:$H$2</xm:f>
          </x14:formula1>
          <xm:sqref>E30</xm:sqref>
        </x14:dataValidation>
        <x14:dataValidation type="list" allowBlank="1" showInputMessage="1" showErrorMessage="1" xr:uid="{4CA252C1-3859-450D-87DF-FADB5C72DEBC}">
          <x14:formula1>
            <xm:f>List!$I$1:$I$2</xm:f>
          </x14:formula1>
          <xm:sqref>E31:E32</xm:sqref>
        </x14:dataValidation>
        <x14:dataValidation type="list" allowBlank="1" showInputMessage="1" showErrorMessage="1" xr:uid="{6D9B096F-0501-4A1B-9F92-4D7E6A7515D6}">
          <x14:formula1>
            <xm:f>List!$M$1:$M$2</xm:f>
          </x14:formula1>
          <xm:sqref>E36</xm:sqref>
        </x14:dataValidation>
        <x14:dataValidation type="list" allowBlank="1" showInputMessage="1" showErrorMessage="1" xr:uid="{C4329C9C-3708-4101-8182-99D5EC4C5B52}">
          <x14:formula1>
            <xm:f>List!$L$1:$L$2</xm:f>
          </x14:formula1>
          <xm:sqref>E35</xm:sqref>
        </x14:dataValidation>
        <x14:dataValidation type="list" allowBlank="1" showInputMessage="1" showErrorMessage="1" xr:uid="{EE5F7898-90F6-41BD-A5D1-8708768ABB86}">
          <x14:formula1>
            <xm:f>List!$N$1:$N$2</xm:f>
          </x14:formula1>
          <xm:sqref>E37</xm:sqref>
        </x14:dataValidation>
        <x14:dataValidation type="list" allowBlank="1" showInputMessage="1" showErrorMessage="1" xr:uid="{855FE9CF-5951-46CE-B0E6-0A0D3CAFCEA1}">
          <x14:formula1>
            <xm:f>List!$C$1:$C$2</xm:f>
          </x14:formula1>
          <xm:sqref>F38 F49</xm:sqref>
        </x14:dataValidation>
        <x14:dataValidation type="list" allowBlank="1" showInputMessage="1" showErrorMessage="1" xr:uid="{C0FE41E5-9788-4075-90FE-021E6A750553}">
          <x14:formula1>
            <xm:f>List!$D$1:$D$2</xm:f>
          </x14:formula1>
          <xm:sqref>F39 F50</xm:sqref>
        </x14:dataValidation>
        <x14:dataValidation type="list" allowBlank="1" showInputMessage="1" showErrorMessage="1" errorTitle="York Dry Goods Retail" error="Maximum Value of 30,000 SF" xr:uid="{E535B507-14D6-4DA8-8FF5-4EA446306161}">
          <x14:formula1>
            <xm:f>List!$B$1:$B$5</xm:f>
          </x14:formula1>
          <xm:sqref>G46</xm:sqref>
        </x14:dataValidation>
        <x14:dataValidation type="list" allowBlank="1" showInputMessage="1" showErrorMessage="1" errorTitle="York Dry Goods Retail" error="Maximum Value of 15,000 SF" xr:uid="{A22D2216-97AC-4CF1-A9CE-599A051D4CBC}">
          <x14:formula1>
            <xm:f>List!$B$1:$B$3</xm:f>
          </x14:formula1>
          <xm:sqref>G23</xm:sqref>
        </x14:dataValidation>
        <x14:dataValidation type="list" allowBlank="1" showInputMessage="1" showErrorMessage="1" xr:uid="{62E994AD-DC08-4DCD-BACC-038C2307C8D8}">
          <x14:formula1>
            <xm:f>List!$K$1:$K$2</xm:f>
          </x14:formula1>
          <xm:sqref>E34</xm:sqref>
        </x14:dataValidation>
        <x14:dataValidation type="list" allowBlank="1" showInputMessage="1" showErrorMessage="1" xr:uid="{E471A37D-07C6-4ECF-9B3E-A2EA03D89A30}">
          <x14:formula1>
            <xm:f>List!$J$1:$J$2</xm:f>
          </x14:formula1>
          <xm:sqref>E33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1434-5D1B-44A6-AEB4-F9C841B84E8B}">
  <sheetPr codeName="Sheet4">
    <tabColor theme="5" tint="0.39997558519241921"/>
    <pageSetUpPr fitToPage="1"/>
  </sheetPr>
  <dimension ref="A1:L73"/>
  <sheetViews>
    <sheetView showGridLines="0" topLeftCell="A7" workbookViewId="0">
      <selection activeCell="F21" sqref="F21:H28"/>
    </sheetView>
  </sheetViews>
  <sheetFormatPr baseColWidth="10" defaultColWidth="0" defaultRowHeight="12" customHeight="1" zeroHeight="1" x14ac:dyDescent="0.2"/>
  <cols>
    <col min="1" max="1" width="1.5" customWidth="1"/>
    <col min="2" max="2" width="49.1640625" customWidth="1"/>
    <col min="3" max="3" width="15.83203125" customWidth="1"/>
    <col min="4" max="4" width="15.5" customWidth="1"/>
    <col min="5" max="5" width="6.5" customWidth="1"/>
    <col min="6" max="6" width="32.5" customWidth="1"/>
    <col min="7" max="8" width="14.5" customWidth="1"/>
    <col min="9" max="9" width="1.5" customWidth="1"/>
    <col min="10" max="10" width="11.5" customWidth="1"/>
    <col min="11" max="11" width="10.5" hidden="1" customWidth="1"/>
    <col min="12" max="12" width="3.5" hidden="1" customWidth="1"/>
    <col min="13" max="16384" width="10.5" hidden="1"/>
  </cols>
  <sheetData>
    <row r="1" spans="1:12" s="1" customFormat="1" ht="15" x14ac:dyDescent="0.2">
      <c r="A1" s="1" t="s">
        <v>128</v>
      </c>
    </row>
    <row r="2" spans="1:12" s="6" customFormat="1" ht="15" x14ac:dyDescent="0.2"/>
    <row r="3" spans="1:12" s="6" customFormat="1" ht="15" x14ac:dyDescent="0.2">
      <c r="B3" s="68" t="s">
        <v>129</v>
      </c>
      <c r="C3" s="75"/>
      <c r="D3" s="123"/>
      <c r="L3"/>
    </row>
    <row r="4" spans="1:12" s="6" customFormat="1" ht="15" x14ac:dyDescent="0.2">
      <c r="B4" s="150" t="s">
        <v>130</v>
      </c>
      <c r="C4" s="346" t="s">
        <v>131</v>
      </c>
      <c r="D4" s="369"/>
      <c r="L4"/>
    </row>
    <row r="5" spans="1:12" s="6" customFormat="1" ht="15" x14ac:dyDescent="0.2">
      <c r="B5" s="151" t="s">
        <v>132</v>
      </c>
      <c r="C5" s="347" t="s">
        <v>133</v>
      </c>
      <c r="D5" s="370"/>
      <c r="L5"/>
    </row>
    <row r="6" spans="1:12" s="6" customFormat="1" ht="15" x14ac:dyDescent="0.2">
      <c r="B6" s="152" t="s">
        <v>88</v>
      </c>
      <c r="C6" s="348" t="s">
        <v>88</v>
      </c>
      <c r="D6" s="371"/>
      <c r="L6"/>
    </row>
    <row r="7" spans="1:12" s="6" customFormat="1" ht="15" x14ac:dyDescent="0.2"/>
    <row r="8" spans="1:12" ht="15" x14ac:dyDescent="0.2">
      <c r="B8" s="318" t="s">
        <v>134</v>
      </c>
      <c r="C8" s="293"/>
      <c r="D8" s="294"/>
      <c r="F8" s="60" t="s">
        <v>135</v>
      </c>
      <c r="G8" s="56"/>
      <c r="H8" s="57"/>
    </row>
    <row r="9" spans="1:12" ht="15" x14ac:dyDescent="0.2">
      <c r="B9" s="69" t="s">
        <v>136</v>
      </c>
      <c r="C9" s="541" t="str">
        <f>IF(COUNTIF('Block Builder'!C37:H37,"overbuilt"),"Yes","No")</f>
        <v>No</v>
      </c>
      <c r="D9" s="344" t="str">
        <f>IF(C9="No","","&lt;=GO TO BLOCK BUILDER")</f>
        <v/>
      </c>
      <c r="F9" s="76" t="s">
        <v>137</v>
      </c>
      <c r="H9" s="350">
        <f>Value!L40</f>
        <v>308611000</v>
      </c>
    </row>
    <row r="10" spans="1:12" ht="15" x14ac:dyDescent="0.2">
      <c r="B10" s="70" t="s">
        <v>138</v>
      </c>
      <c r="C10" s="542" t="str">
        <f>IF(OR('Use Allocation'!H40&lt;0,'Use Allocation'!H51&lt;0),"Yes","No")</f>
        <v>No</v>
      </c>
      <c r="D10" s="345" t="str">
        <f>IF(C10="No","","&lt;=GO TO USE ALLOCATION")</f>
        <v/>
      </c>
      <c r="F10" s="621" t="s">
        <v>139</v>
      </c>
      <c r="H10" s="351"/>
    </row>
    <row r="11" spans="1:12" ht="15" x14ac:dyDescent="0.2">
      <c r="E11" s="324"/>
      <c r="F11" s="291" t="s">
        <v>140</v>
      </c>
      <c r="H11" s="623">
        <f>-Costs!H40</f>
        <v>-249864999.99999997</v>
      </c>
    </row>
    <row r="12" spans="1:12" ht="15" x14ac:dyDescent="0.2">
      <c r="B12" s="68" t="s">
        <v>141</v>
      </c>
      <c r="C12" s="179" t="s">
        <v>142</v>
      </c>
      <c r="D12" s="328" t="s">
        <v>143</v>
      </c>
      <c r="E12" s="324"/>
      <c r="F12" s="291" t="s">
        <v>144</v>
      </c>
      <c r="H12" s="351">
        <f>-Model!H5</f>
        <v>-20000000</v>
      </c>
    </row>
    <row r="13" spans="1:12" ht="15" x14ac:dyDescent="0.2">
      <c r="B13" s="76" t="s">
        <v>145</v>
      </c>
      <c r="C13" s="331">
        <f>Costs!D6</f>
        <v>4</v>
      </c>
      <c r="D13" s="332">
        <f>'Use Allocation'!E5</f>
        <v>0.05</v>
      </c>
      <c r="E13" s="324"/>
      <c r="F13" s="291" t="s">
        <v>146</v>
      </c>
      <c r="H13" s="351">
        <f>Value!P40</f>
        <v>0</v>
      </c>
    </row>
    <row r="14" spans="1:12" ht="15" x14ac:dyDescent="0.2">
      <c r="B14" s="76" t="s">
        <v>77</v>
      </c>
      <c r="C14" s="331">
        <f>Costs!D7+Costs!D8</f>
        <v>36</v>
      </c>
      <c r="D14" s="332">
        <f>'Use Allocation'!E6</f>
        <v>0.2</v>
      </c>
      <c r="E14" s="324"/>
      <c r="F14" s="291" t="s">
        <v>147</v>
      </c>
      <c r="H14" s="351">
        <f>Costs!L40</f>
        <v>3162000</v>
      </c>
    </row>
    <row r="15" spans="1:12" ht="15" x14ac:dyDescent="0.2">
      <c r="B15" s="76" t="s">
        <v>79</v>
      </c>
      <c r="C15" s="331">
        <f>SUM(Costs!D11:D13)</f>
        <v>4</v>
      </c>
      <c r="D15" s="332">
        <f>'Use Allocation'!E7</f>
        <v>0.05</v>
      </c>
      <c r="E15" s="324"/>
      <c r="F15" s="291" t="s">
        <v>148</v>
      </c>
      <c r="H15" s="351">
        <f>-'Use Allocation'!J7</f>
        <v>-1499190</v>
      </c>
    </row>
    <row r="16" spans="1:12" ht="15" x14ac:dyDescent="0.2">
      <c r="B16" s="76" t="s">
        <v>149</v>
      </c>
      <c r="C16" s="331">
        <v>0</v>
      </c>
      <c r="D16" s="332">
        <v>0</v>
      </c>
      <c r="E16" s="324"/>
      <c r="F16" s="291" t="s">
        <v>150</v>
      </c>
      <c r="G16" s="190"/>
      <c r="H16" s="622">
        <f>Model!L4</f>
        <v>0</v>
      </c>
    </row>
    <row r="17" spans="2:11" ht="15" x14ac:dyDescent="0.2">
      <c r="B17" s="58" t="s">
        <v>151</v>
      </c>
      <c r="C17" s="333">
        <f>SUM(C13:C16)</f>
        <v>44</v>
      </c>
      <c r="D17" s="334">
        <f>H52</f>
        <v>0.1164021164021164</v>
      </c>
      <c r="E17" s="324"/>
      <c r="F17" s="621" t="s">
        <v>152</v>
      </c>
      <c r="H17" s="623">
        <f>SUM(H11:H16)</f>
        <v>-268202190</v>
      </c>
    </row>
    <row r="18" spans="2:11" ht="15" x14ac:dyDescent="0.2">
      <c r="E18" s="324"/>
      <c r="F18" s="62" t="s">
        <v>153</v>
      </c>
      <c r="G18" s="7"/>
      <c r="H18" s="349">
        <f>H9+H17</f>
        <v>40408810</v>
      </c>
      <c r="K18" s="19"/>
    </row>
    <row r="19" spans="2:11" ht="16" x14ac:dyDescent="0.2">
      <c r="B19" s="619"/>
      <c r="C19" s="620" t="s">
        <v>154</v>
      </c>
      <c r="D19" s="573" t="s">
        <v>155</v>
      </c>
      <c r="F19" s="63" t="s">
        <v>156</v>
      </c>
      <c r="G19" s="1"/>
      <c r="H19" s="67">
        <f>H18/-H17</f>
        <v>0.15066547368610225</v>
      </c>
      <c r="K19" s="19"/>
    </row>
    <row r="20" spans="2:11" ht="16" x14ac:dyDescent="0.2">
      <c r="B20" s="563"/>
      <c r="C20" s="557"/>
      <c r="D20" s="559" t="s">
        <v>157</v>
      </c>
      <c r="H20" s="28"/>
    </row>
    <row r="21" spans="2:11" ht="15" x14ac:dyDescent="0.2">
      <c r="B21" s="616" t="s">
        <v>158</v>
      </c>
      <c r="C21" s="617" t="s">
        <v>142</v>
      </c>
      <c r="D21" s="618"/>
      <c r="F21" s="55" t="s">
        <v>159</v>
      </c>
      <c r="G21" s="55"/>
      <c r="H21" s="55"/>
    </row>
    <row r="22" spans="2:11" ht="15" x14ac:dyDescent="0.2">
      <c r="B22" s="297" t="s">
        <v>46</v>
      </c>
      <c r="C22" s="298">
        <f>Market!C6</f>
        <v>0</v>
      </c>
      <c r="D22" s="299" t="s">
        <v>160</v>
      </c>
      <c r="F22" s="64" t="s">
        <v>161</v>
      </c>
      <c r="G22" s="65"/>
      <c r="H22" s="66" t="s">
        <v>162</v>
      </c>
    </row>
    <row r="23" spans="2:11" ht="15" x14ac:dyDescent="0.2">
      <c r="B23" s="300" t="s">
        <v>49</v>
      </c>
      <c r="C23" s="301">
        <f>Market!C7</f>
        <v>28</v>
      </c>
      <c r="D23" s="302" t="s">
        <v>160</v>
      </c>
      <c r="F23" s="291" t="s">
        <v>163</v>
      </c>
      <c r="H23" s="350">
        <f>'City Revenue'!N45</f>
        <v>22170000</v>
      </c>
      <c r="K23" s="19"/>
    </row>
    <row r="24" spans="2:11" ht="15" x14ac:dyDescent="0.2">
      <c r="B24" s="300" t="s">
        <v>51</v>
      </c>
      <c r="C24" s="301">
        <f>Market!C8</f>
        <v>38</v>
      </c>
      <c r="D24" s="302" t="s">
        <v>160</v>
      </c>
      <c r="F24" s="291" t="s">
        <v>164</v>
      </c>
      <c r="H24" s="353">
        <f>'City Revenue'!N46</f>
        <v>-1203250</v>
      </c>
      <c r="K24" s="19"/>
    </row>
    <row r="25" spans="2:11" ht="15" x14ac:dyDescent="0.2">
      <c r="B25" s="300" t="s">
        <v>14</v>
      </c>
      <c r="C25" s="301">
        <f>Market!C9</f>
        <v>68</v>
      </c>
      <c r="D25" s="303">
        <f>Market!G9</f>
        <v>2.8333333333333335</v>
      </c>
      <c r="F25" s="291" t="s">
        <v>165</v>
      </c>
      <c r="H25" s="353">
        <f>'City Revenue'!N48</f>
        <v>20000000</v>
      </c>
      <c r="K25" s="19"/>
    </row>
    <row r="26" spans="2:11" ht="15" x14ac:dyDescent="0.2">
      <c r="B26" s="300" t="s">
        <v>166</v>
      </c>
      <c r="C26" s="301">
        <f>Market!C10</f>
        <v>144</v>
      </c>
      <c r="D26" s="303">
        <f>Market!G10</f>
        <v>2.1</v>
      </c>
      <c r="F26" s="291" t="s">
        <v>167</v>
      </c>
      <c r="H26" s="353">
        <f>'City Revenue'!N49</f>
        <v>-25000000</v>
      </c>
      <c r="K26" s="19"/>
    </row>
    <row r="27" spans="2:11" ht="15" x14ac:dyDescent="0.2">
      <c r="B27" s="304" t="s">
        <v>168</v>
      </c>
      <c r="C27" s="305">
        <f>Market!C11</f>
        <v>56</v>
      </c>
      <c r="D27" s="303">
        <f>Market!G11</f>
        <v>1.6</v>
      </c>
      <c r="F27" s="291" t="s">
        <v>169</v>
      </c>
      <c r="H27" s="353">
        <f>'City Revenue'!N50</f>
        <v>-3162000</v>
      </c>
    </row>
    <row r="28" spans="2:11" ht="15" x14ac:dyDescent="0.2">
      <c r="B28" s="318" t="s">
        <v>24</v>
      </c>
      <c r="C28" s="295" t="s">
        <v>92</v>
      </c>
      <c r="D28" s="296"/>
      <c r="F28" s="58" t="s">
        <v>170</v>
      </c>
      <c r="G28" s="32"/>
      <c r="H28" s="352">
        <f>SUM(H23:H27)</f>
        <v>12804750</v>
      </c>
    </row>
    <row r="29" spans="2:11" ht="15" x14ac:dyDescent="0.2">
      <c r="B29" s="300" t="s">
        <v>46</v>
      </c>
      <c r="C29" s="301">
        <f>Market!C13</f>
        <v>0</v>
      </c>
      <c r="D29" s="306" t="s">
        <v>171</v>
      </c>
    </row>
    <row r="30" spans="2:11" ht="15" x14ac:dyDescent="0.2">
      <c r="B30" s="300" t="s">
        <v>49</v>
      </c>
      <c r="C30" s="301">
        <f>Market!C14</f>
        <v>3500</v>
      </c>
      <c r="D30" s="306" t="s">
        <v>171</v>
      </c>
      <c r="F30" s="60" t="s">
        <v>172</v>
      </c>
      <c r="G30" s="56"/>
      <c r="H30" s="57"/>
    </row>
    <row r="31" spans="2:11" ht="15" x14ac:dyDescent="0.2">
      <c r="B31" s="300" t="s">
        <v>51</v>
      </c>
      <c r="C31" s="301">
        <f>Market!C15</f>
        <v>10000</v>
      </c>
      <c r="D31" s="306" t="s">
        <v>171</v>
      </c>
      <c r="F31" s="157" t="s">
        <v>173</v>
      </c>
      <c r="G31" s="137"/>
      <c r="H31" s="189">
        <f>Costs!H45</f>
        <v>0</v>
      </c>
    </row>
    <row r="32" spans="2:11" ht="15" x14ac:dyDescent="0.2">
      <c r="B32" s="307" t="s">
        <v>174</v>
      </c>
      <c r="C32" s="301">
        <f>Market!C16</f>
        <v>105000</v>
      </c>
      <c r="D32" s="308">
        <f>Market!G16</f>
        <v>1.48125</v>
      </c>
    </row>
    <row r="33" spans="2:8" ht="15" x14ac:dyDescent="0.2">
      <c r="B33" s="307" t="s">
        <v>175</v>
      </c>
      <c r="C33" s="301">
        <f>Market!C17</f>
        <v>120000</v>
      </c>
      <c r="D33" s="308">
        <f>Market!G17</f>
        <v>1.7142857142857142</v>
      </c>
      <c r="F33" s="319" t="s">
        <v>54</v>
      </c>
      <c r="G33" s="179" t="s">
        <v>176</v>
      </c>
      <c r="H33" s="56" t="s">
        <v>177</v>
      </c>
    </row>
    <row r="34" spans="2:8" ht="15" x14ac:dyDescent="0.2">
      <c r="B34" s="318" t="s">
        <v>34</v>
      </c>
      <c r="C34" s="295" t="s">
        <v>92</v>
      </c>
      <c r="D34" s="309"/>
      <c r="F34" s="76" t="s">
        <v>55</v>
      </c>
      <c r="G34" s="176">
        <f>Costs!E37</f>
        <v>20000</v>
      </c>
      <c r="H34" s="378">
        <f>G34/TotalSiteArea</f>
        <v>0.04</v>
      </c>
    </row>
    <row r="35" spans="2:8" ht="15" x14ac:dyDescent="0.2">
      <c r="B35" s="151" t="s">
        <v>46</v>
      </c>
      <c r="C35" s="310">
        <f>Market!C19</f>
        <v>0</v>
      </c>
      <c r="D35" s="302" t="s">
        <v>178</v>
      </c>
      <c r="F35" s="76" t="s">
        <v>57</v>
      </c>
      <c r="G35" s="177">
        <f>Costs!E38</f>
        <v>10000</v>
      </c>
      <c r="H35" s="379">
        <f>G35/TotalSiteArea</f>
        <v>0.02</v>
      </c>
    </row>
    <row r="36" spans="2:8" ht="15" x14ac:dyDescent="0.2">
      <c r="B36" s="151" t="s">
        <v>49</v>
      </c>
      <c r="C36" s="310">
        <f>Market!C20</f>
        <v>5000</v>
      </c>
      <c r="D36" s="302" t="s">
        <v>178</v>
      </c>
      <c r="F36" s="76" t="s">
        <v>59</v>
      </c>
      <c r="G36" s="177">
        <f>Costs!E39</f>
        <v>0</v>
      </c>
      <c r="H36" s="379">
        <f>G36/TotalSiteArea</f>
        <v>0</v>
      </c>
    </row>
    <row r="37" spans="2:8" ht="15" x14ac:dyDescent="0.2">
      <c r="B37" s="151" t="s">
        <v>51</v>
      </c>
      <c r="C37" s="310">
        <f>Market!C21</f>
        <v>5000</v>
      </c>
      <c r="D37" s="302" t="s">
        <v>178</v>
      </c>
      <c r="F37" s="58" t="s">
        <v>179</v>
      </c>
      <c r="G37" s="178">
        <f>SUM(G34:G36)</f>
        <v>30000</v>
      </c>
      <c r="H37" s="380">
        <f>G37/TotalSiteArea</f>
        <v>0.06</v>
      </c>
    </row>
    <row r="38" spans="2:8" ht="15" x14ac:dyDescent="0.2">
      <c r="B38" s="151" t="s">
        <v>180</v>
      </c>
      <c r="C38" s="310">
        <f>Market!C22</f>
        <v>5000</v>
      </c>
      <c r="D38" s="302" t="s">
        <v>178</v>
      </c>
    </row>
    <row r="39" spans="2:8" ht="15" x14ac:dyDescent="0.2">
      <c r="B39" s="151" t="s">
        <v>181</v>
      </c>
      <c r="C39" s="310">
        <f>Market!C23</f>
        <v>5000</v>
      </c>
      <c r="D39" s="302" t="s">
        <v>178</v>
      </c>
      <c r="F39" s="319" t="s">
        <v>182</v>
      </c>
      <c r="G39" s="244"/>
      <c r="H39" s="276"/>
    </row>
    <row r="40" spans="2:8" ht="15" x14ac:dyDescent="0.2">
      <c r="B40" s="151" t="s">
        <v>183</v>
      </c>
      <c r="C40" s="310">
        <f>Market!C24</f>
        <v>5000</v>
      </c>
      <c r="D40" s="302" t="s">
        <v>178</v>
      </c>
      <c r="F40" s="448" t="s">
        <v>184</v>
      </c>
      <c r="G40" s="588">
        <f>'Use Allocation'!J6</f>
        <v>0.2</v>
      </c>
      <c r="H40" s="450">
        <f>'Use Allocation'!J7</f>
        <v>1499190</v>
      </c>
    </row>
    <row r="41" spans="2:8" ht="15" x14ac:dyDescent="0.2">
      <c r="B41" s="151" t="s">
        <v>185</v>
      </c>
      <c r="C41" s="310">
        <f>Market!C25</f>
        <v>40000</v>
      </c>
      <c r="D41" s="303">
        <f>Market!G25</f>
        <v>2.9545454545454546</v>
      </c>
      <c r="F41" s="613"/>
      <c r="G41" s="614"/>
      <c r="H41" s="615"/>
    </row>
    <row r="42" spans="2:8" ht="15" x14ac:dyDescent="0.2">
      <c r="B42" s="151" t="s">
        <v>186</v>
      </c>
      <c r="C42" s="310">
        <f>Market!C26</f>
        <v>40000</v>
      </c>
      <c r="D42" s="303">
        <f>Market!G26</f>
        <v>2.6666666666666665</v>
      </c>
      <c r="F42" s="55" t="s">
        <v>187</v>
      </c>
      <c r="G42" s="55"/>
      <c r="H42" s="55"/>
    </row>
    <row r="43" spans="2:8" ht="15" x14ac:dyDescent="0.2">
      <c r="B43" s="152" t="s">
        <v>41</v>
      </c>
      <c r="C43" s="311">
        <f>Market!C27</f>
        <v>0</v>
      </c>
      <c r="D43" s="312">
        <f>Market!G27</f>
        <v>0</v>
      </c>
      <c r="F43" s="58" t="s">
        <v>188</v>
      </c>
      <c r="G43" s="32"/>
      <c r="H43" s="61" t="s">
        <v>189</v>
      </c>
    </row>
    <row r="44" spans="2:8" ht="15" x14ac:dyDescent="0.2">
      <c r="F44" s="76" t="s">
        <v>190</v>
      </c>
      <c r="H44" s="292">
        <f>Jobs!D45</f>
        <v>231</v>
      </c>
    </row>
    <row r="45" spans="2:8" ht="15" x14ac:dyDescent="0.2">
      <c r="B45" s="317" t="s">
        <v>191</v>
      </c>
      <c r="C45" s="295" t="s">
        <v>192</v>
      </c>
      <c r="D45" s="295" t="s">
        <v>193</v>
      </c>
      <c r="F45" s="76" t="s">
        <v>194</v>
      </c>
      <c r="H45" s="292">
        <f>Jobs!E45</f>
        <v>404</v>
      </c>
    </row>
    <row r="46" spans="2:8" ht="15" x14ac:dyDescent="0.2">
      <c r="B46" s="175" t="s">
        <v>49</v>
      </c>
      <c r="C46" s="313"/>
      <c r="D46" s="590"/>
      <c r="F46" s="76" t="s">
        <v>195</v>
      </c>
      <c r="H46" s="292">
        <f>Jobs!F45</f>
        <v>454</v>
      </c>
    </row>
    <row r="47" spans="2:8" ht="15" x14ac:dyDescent="0.2">
      <c r="B47" s="69" t="s">
        <v>107</v>
      </c>
      <c r="C47" s="314">
        <f>'Use Allocation'!E27</f>
        <v>0</v>
      </c>
      <c r="D47" s="591"/>
      <c r="F47" s="76" t="s">
        <v>196</v>
      </c>
      <c r="H47" s="292">
        <f>Jobs!G45</f>
        <v>81</v>
      </c>
    </row>
    <row r="48" spans="2:8" ht="15" x14ac:dyDescent="0.2">
      <c r="B48" s="69" t="s">
        <v>108</v>
      </c>
      <c r="C48" s="314">
        <f>'Use Allocation'!E28</f>
        <v>0</v>
      </c>
      <c r="D48" s="591"/>
      <c r="F48" s="58" t="s">
        <v>197</v>
      </c>
      <c r="G48" s="32"/>
      <c r="H48" s="387">
        <f>SUM(H44:H47)</f>
        <v>1170</v>
      </c>
    </row>
    <row r="49" spans="2:8" ht="15" x14ac:dyDescent="0.2">
      <c r="B49" s="69" t="s">
        <v>109</v>
      </c>
      <c r="C49" s="314">
        <f>'Use Allocation'!E29</f>
        <v>0</v>
      </c>
      <c r="D49" s="591"/>
      <c r="F49" s="191"/>
      <c r="G49" s="191"/>
      <c r="H49" s="3"/>
    </row>
    <row r="50" spans="2:8" ht="15" x14ac:dyDescent="0.2">
      <c r="B50" s="69" t="s">
        <v>110</v>
      </c>
      <c r="C50" s="314">
        <f>'Use Allocation'!E30</f>
        <v>3500</v>
      </c>
      <c r="D50" s="591"/>
      <c r="F50" s="327" t="s">
        <v>198</v>
      </c>
      <c r="G50" s="179" t="s">
        <v>199</v>
      </c>
      <c r="H50" s="328" t="s">
        <v>143</v>
      </c>
    </row>
    <row r="51" spans="2:8" ht="15" x14ac:dyDescent="0.2">
      <c r="B51" s="69" t="s">
        <v>111</v>
      </c>
      <c r="C51" s="314">
        <f>'Use Allocation'!E31</f>
        <v>0</v>
      </c>
      <c r="D51" s="591"/>
      <c r="E51" s="191"/>
      <c r="F51" s="143" t="s">
        <v>200</v>
      </c>
      <c r="G51" s="338">
        <f>Model!AB47</f>
        <v>334</v>
      </c>
      <c r="H51" s="335">
        <f>IFERROR(G51/$G$53,0)</f>
        <v>0.8835978835978836</v>
      </c>
    </row>
    <row r="52" spans="2:8" ht="15" x14ac:dyDescent="0.2">
      <c r="B52" s="69" t="s">
        <v>112</v>
      </c>
      <c r="C52" s="314">
        <f>'Use Allocation'!E32</f>
        <v>0</v>
      </c>
      <c r="D52" s="591"/>
      <c r="E52" s="191"/>
      <c r="F52" s="142" t="s">
        <v>141</v>
      </c>
      <c r="G52" s="339">
        <f>Model!AC47</f>
        <v>44</v>
      </c>
      <c r="H52" s="336">
        <f>IFERROR(G52/$G$53,0)</f>
        <v>0.1164021164021164</v>
      </c>
    </row>
    <row r="53" spans="2:8" ht="15" x14ac:dyDescent="0.2">
      <c r="B53" s="69" t="s">
        <v>113</v>
      </c>
      <c r="C53" s="314">
        <f>'Use Allocation'!E33</f>
        <v>0</v>
      </c>
      <c r="D53" s="591"/>
      <c r="F53" s="58" t="s">
        <v>201</v>
      </c>
      <c r="G53" s="333">
        <f>SUM(G51:G52)</f>
        <v>378</v>
      </c>
      <c r="H53" s="337">
        <f>SUM(H51:H52)</f>
        <v>1</v>
      </c>
    </row>
    <row r="54" spans="2:8" ht="15" x14ac:dyDescent="0.2">
      <c r="B54" s="69" t="s">
        <v>114</v>
      </c>
      <c r="C54" s="314">
        <f>'Use Allocation'!E34</f>
        <v>0</v>
      </c>
      <c r="D54" s="591"/>
    </row>
    <row r="55" spans="2:8" ht="15" x14ac:dyDescent="0.2">
      <c r="B55" s="69" t="s">
        <v>115</v>
      </c>
      <c r="C55" s="314">
        <f>'Use Allocation'!E35</f>
        <v>0</v>
      </c>
      <c r="D55" s="591"/>
      <c r="F55" s="68" t="s">
        <v>202</v>
      </c>
      <c r="G55" s="75"/>
      <c r="H55" s="123"/>
    </row>
    <row r="56" spans="2:8" ht="15" x14ac:dyDescent="0.2">
      <c r="B56" s="69" t="s">
        <v>116</v>
      </c>
      <c r="C56" s="314">
        <f>'Use Allocation'!E36</f>
        <v>0</v>
      </c>
      <c r="D56" s="591"/>
      <c r="F56" s="76" t="s">
        <v>203</v>
      </c>
      <c r="H56" s="292">
        <f>H48</f>
        <v>1170</v>
      </c>
    </row>
    <row r="57" spans="2:8" ht="15" x14ac:dyDescent="0.2">
      <c r="B57" s="69" t="s">
        <v>117</v>
      </c>
      <c r="C57" s="314">
        <f>'Use Allocation'!E37</f>
        <v>0</v>
      </c>
      <c r="D57" s="591"/>
      <c r="F57" s="76" t="s">
        <v>204</v>
      </c>
      <c r="H57" s="292">
        <f>G53</f>
        <v>378</v>
      </c>
    </row>
    <row r="58" spans="2:8" ht="15" x14ac:dyDescent="0.2">
      <c r="B58" s="69" t="s">
        <v>118</v>
      </c>
      <c r="C58" s="314"/>
      <c r="D58" s="592">
        <f>'Use Allocation'!F38</f>
        <v>0</v>
      </c>
      <c r="F58" s="142" t="s">
        <v>205</v>
      </c>
      <c r="G58" s="71"/>
      <c r="H58" s="580" t="str">
        <f>ROUND(H56/H57,0)&amp;" to 1"</f>
        <v>3 to 1</v>
      </c>
    </row>
    <row r="59" spans="2:8" ht="15" x14ac:dyDescent="0.2">
      <c r="B59" s="69" t="s">
        <v>119</v>
      </c>
      <c r="C59" s="314"/>
      <c r="D59" s="592">
        <f>'Use Allocation'!F39</f>
        <v>0</v>
      </c>
    </row>
    <row r="60" spans="2:8" ht="15" x14ac:dyDescent="0.2">
      <c r="B60" s="175" t="s">
        <v>51</v>
      </c>
      <c r="C60" s="314"/>
      <c r="D60" s="592"/>
      <c r="F60" s="68" t="s">
        <v>206</v>
      </c>
      <c r="G60" s="75"/>
      <c r="H60" s="594" t="s">
        <v>207</v>
      </c>
    </row>
    <row r="61" spans="2:8" ht="15" x14ac:dyDescent="0.2">
      <c r="B61" s="69" t="s">
        <v>208</v>
      </c>
      <c r="C61" s="314"/>
      <c r="D61" s="592">
        <f>'Use Allocation'!F49*Model!$I$42</f>
        <v>10000</v>
      </c>
      <c r="F61" s="143" t="s">
        <v>209</v>
      </c>
      <c r="H61" s="106">
        <f>Model!AN47</f>
        <v>179</v>
      </c>
    </row>
    <row r="62" spans="2:8" ht="15" x14ac:dyDescent="0.2">
      <c r="B62" s="69" t="s">
        <v>119</v>
      </c>
      <c r="C62" s="314"/>
      <c r="D62" s="592">
        <f>'Use Allocation'!F50*Model!$I$42</f>
        <v>0</v>
      </c>
      <c r="F62" s="76" t="s">
        <v>210</v>
      </c>
      <c r="H62" s="104">
        <f>Model!AO47</f>
        <v>456</v>
      </c>
    </row>
    <row r="63" spans="2:8" ht="15" x14ac:dyDescent="0.2">
      <c r="B63" s="326" t="s">
        <v>211</v>
      </c>
      <c r="C63" s="593">
        <f>SUM(C47:C62)</f>
        <v>3500</v>
      </c>
      <c r="D63" s="593">
        <f>SUM(D47:D62)</f>
        <v>10000</v>
      </c>
      <c r="F63" s="76" t="s">
        <v>212</v>
      </c>
      <c r="G63" s="71"/>
      <c r="H63" s="101">
        <f>Model!AP47</f>
        <v>521</v>
      </c>
    </row>
    <row r="64" spans="2:8" ht="15" x14ac:dyDescent="0.2">
      <c r="F64" s="58" t="s">
        <v>61</v>
      </c>
      <c r="G64" s="628"/>
      <c r="H64" s="315">
        <f>SUM(H61:H63)</f>
        <v>1156</v>
      </c>
    </row>
    <row r="65" spans="1:9" s="138" customFormat="1" ht="15" x14ac:dyDescent="0.2">
      <c r="A65"/>
      <c r="B65"/>
      <c r="C65"/>
      <c r="D65"/>
      <c r="E65"/>
      <c r="I65"/>
    </row>
    <row r="66" spans="1:9" ht="15" hidden="1" x14ac:dyDescent="0.2"/>
    <row r="67" spans="1:9" ht="15" hidden="1" x14ac:dyDescent="0.2"/>
    <row r="68" spans="1:9" ht="15" hidden="1" x14ac:dyDescent="0.2"/>
    <row r="72" spans="1:9" ht="12" hidden="1" customHeight="1" x14ac:dyDescent="0.2">
      <c r="A72" s="138"/>
      <c r="D72" s="138"/>
    </row>
    <row r="73" spans="1:9" ht="12" hidden="1" customHeight="1" x14ac:dyDescent="0.2">
      <c r="E73" s="138"/>
    </row>
  </sheetData>
  <sheetProtection algorithmName="SHA-512" hashValue="ucS+DHrDlHY2+gOzZFY3gHOdXN/wzHRP2P25i6pS+drqn3vVqubtxYXjaZ2Ae5VMm7dl9trhJDJQiDt/JS8v0A==" saltValue="0yEY2pa7Mc415xfx5bj4EQ==" spinCount="100000" sheet="1" objects="1" scenarios="1"/>
  <conditionalFormatting sqref="C9:C10">
    <cfRule type="expression" dxfId="13" priority="1">
      <formula>C9="Yes"</formula>
    </cfRule>
  </conditionalFormatting>
  <conditionalFormatting sqref="C10">
    <cfRule type="expression" dxfId="12" priority="3">
      <formula>"D5=""Yes"""</formula>
    </cfRule>
    <cfRule type="expression" dxfId="11" priority="4">
      <formula>"D5=""""Yes"""""""</formula>
    </cfRule>
  </conditionalFormatting>
  <conditionalFormatting sqref="D26:D27">
    <cfRule type="expression" dxfId="10" priority="5">
      <formula>D26&gt;3</formula>
    </cfRule>
  </conditionalFormatting>
  <conditionalFormatting sqref="D32:D33">
    <cfRule type="expression" dxfId="9" priority="9">
      <formula>D32&gt;3</formula>
    </cfRule>
  </conditionalFormatting>
  <conditionalFormatting sqref="D41:D43">
    <cfRule type="expression" dxfId="8" priority="6">
      <formula>D41&gt;3</formula>
    </cfRule>
  </conditionalFormatting>
  <dataValidations count="2">
    <dataValidation type="decimal" allowBlank="1" showInputMessage="1" showErrorMessage="1" errorTitle="Affordable Housing" error="Must be &gt;= 10%" sqref="G51" xr:uid="{6DCD4964-46BB-4232-976B-FFE55C857C07}">
      <formula1>0</formula1>
      <formula2>1</formula2>
    </dataValidation>
    <dataValidation allowBlank="1" showInputMessage="1" showErrorMessage="1" errorTitle="Affordable Housing" error="Must be &gt;= 10%" sqref="G52 G53:H53 C13:D17" xr:uid="{687B66DE-9C3E-4A0D-92DA-2231B23D8370}"/>
  </dataValidations>
  <printOptions horizontalCentered="1"/>
  <pageMargins left="0.25" right="0.25" top="0.75" bottom="0.75" header="0.3" footer="0.3"/>
  <pageSetup scale="64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BE7F-63E5-4FC3-AB9D-F7A994D54657}">
  <sheetPr codeName="Sheet6">
    <tabColor rgb="FF0070C0"/>
    <pageSetUpPr fitToPage="1"/>
  </sheetPr>
  <dimension ref="A1:AG88"/>
  <sheetViews>
    <sheetView showGridLines="0" zoomScaleNormal="100" workbookViewId="0">
      <selection activeCell="F24" sqref="F24"/>
    </sheetView>
  </sheetViews>
  <sheetFormatPr baseColWidth="10" defaultColWidth="0" defaultRowHeight="15" zeroHeight="1" x14ac:dyDescent="0.2"/>
  <cols>
    <col min="1" max="1" width="1.5" customWidth="1"/>
    <col min="2" max="2" width="33.5" customWidth="1"/>
    <col min="3" max="4" width="10.83203125" customWidth="1"/>
    <col min="5" max="5" width="11.83203125" customWidth="1"/>
    <col min="6" max="6" width="13.1640625" customWidth="1"/>
    <col min="7" max="7" width="3.5" bestFit="1" customWidth="1"/>
    <col min="8" max="8" width="13.83203125" bestFit="1" customWidth="1"/>
    <col min="9" max="9" width="1.5" customWidth="1"/>
    <col min="10" max="10" width="12.1640625" customWidth="1"/>
    <col min="11" max="11" width="1.5" customWidth="1"/>
    <col min="12" max="12" width="14.83203125" customWidth="1"/>
    <col min="13" max="13" width="1.5" customWidth="1"/>
    <col min="14" max="14" width="20.1640625" customWidth="1"/>
    <col min="15" max="33" width="0" hidden="1" customWidth="1"/>
    <col min="34" max="16384" width="20.1640625" hidden="1"/>
  </cols>
  <sheetData>
    <row r="1" spans="1:32" s="1" customFormat="1" x14ac:dyDescent="0.2">
      <c r="A1" s="1" t="s">
        <v>213</v>
      </c>
      <c r="N1" s="7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x14ac:dyDescent="0.2">
      <c r="B2" s="208"/>
      <c r="C2" s="208"/>
      <c r="D2" s="208"/>
      <c r="E2" s="209"/>
      <c r="F2" s="210"/>
      <c r="G2" s="210"/>
      <c r="H2" s="210"/>
      <c r="I2" s="210"/>
      <c r="J2" s="209"/>
      <c r="K2" s="209"/>
      <c r="L2" s="209"/>
    </row>
    <row r="3" spans="1:32" x14ac:dyDescent="0.2">
      <c r="B3" s="211"/>
      <c r="C3" s="212"/>
      <c r="D3" s="212"/>
      <c r="E3" s="213"/>
      <c r="F3" s="214"/>
      <c r="G3" s="214"/>
      <c r="H3" s="214"/>
      <c r="I3" s="214"/>
      <c r="J3" s="214"/>
      <c r="K3" s="214"/>
      <c r="L3" s="215"/>
    </row>
    <row r="4" spans="1:32" ht="32" x14ac:dyDescent="0.2">
      <c r="B4" s="216"/>
      <c r="C4" s="217"/>
      <c r="D4" s="218"/>
      <c r="E4" s="218"/>
      <c r="F4" s="219" t="s">
        <v>214</v>
      </c>
      <c r="G4" s="390" t="s">
        <v>215</v>
      </c>
      <c r="H4" s="220" t="s">
        <v>216</v>
      </c>
      <c r="I4" s="390" t="s">
        <v>217</v>
      </c>
      <c r="J4" s="391" t="s">
        <v>218</v>
      </c>
      <c r="K4" s="391" t="s">
        <v>215</v>
      </c>
      <c r="L4" s="221" t="s">
        <v>219</v>
      </c>
    </row>
    <row r="5" spans="1:32" s="138" customFormat="1" ht="16" x14ac:dyDescent="0.2">
      <c r="B5" s="222" t="s">
        <v>10</v>
      </c>
      <c r="C5" s="223" t="s">
        <v>220</v>
      </c>
      <c r="D5" s="223" t="s">
        <v>221</v>
      </c>
      <c r="E5" s="582" t="s">
        <v>142</v>
      </c>
      <c r="F5" s="225" t="s">
        <v>222</v>
      </c>
      <c r="G5" s="392"/>
      <c r="H5" s="227"/>
      <c r="I5" s="225"/>
      <c r="J5" s="393"/>
      <c r="K5" s="393"/>
      <c r="L5" s="394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x14ac:dyDescent="0.2">
      <c r="B6" s="229" t="s">
        <v>14</v>
      </c>
      <c r="C6" s="230">
        <f>Model!AB25</f>
        <v>68</v>
      </c>
      <c r="D6" s="231">
        <f>Model!AC25</f>
        <v>4</v>
      </c>
      <c r="E6" s="583">
        <f t="shared" ref="E6:E13" si="0">C6+D6</f>
        <v>72</v>
      </c>
      <c r="F6" s="233">
        <f>ROUND(IFERROR(H6/E6,0),2)</f>
        <v>407500</v>
      </c>
      <c r="G6" s="395"/>
      <c r="H6" s="234">
        <f>Model!N25+Model!O25</f>
        <v>29340000</v>
      </c>
      <c r="I6" s="233"/>
      <c r="J6" s="396">
        <f>Model!$C$4</f>
        <v>0.15</v>
      </c>
      <c r="K6" s="396"/>
      <c r="L6" s="397">
        <f>Model!Y25</f>
        <v>220000</v>
      </c>
    </row>
    <row r="7" spans="1:32" x14ac:dyDescent="0.2">
      <c r="B7" s="236" t="s">
        <v>16</v>
      </c>
      <c r="C7" s="237">
        <f>Model!AB26</f>
        <v>96</v>
      </c>
      <c r="D7" s="238">
        <f>Model!AC26</f>
        <v>24</v>
      </c>
      <c r="E7" s="292">
        <f t="shared" si="0"/>
        <v>120</v>
      </c>
      <c r="F7" s="233">
        <f t="shared" ref="F7:F13" si="1">ROUND(IFERROR(H7/E7,0),2)</f>
        <v>210000</v>
      </c>
      <c r="G7" s="395"/>
      <c r="H7" s="234">
        <f>Model!N26+Model!O26</f>
        <v>25200000</v>
      </c>
      <c r="I7" s="233"/>
      <c r="J7" s="396">
        <f>Model!$C$4</f>
        <v>0.15</v>
      </c>
      <c r="K7" s="396"/>
      <c r="L7" s="397">
        <f>Model!Y26</f>
        <v>756000</v>
      </c>
    </row>
    <row r="8" spans="1:32" x14ac:dyDescent="0.2">
      <c r="B8" s="236" t="s">
        <v>181</v>
      </c>
      <c r="C8" s="237">
        <f>Model!AB27</f>
        <v>48</v>
      </c>
      <c r="D8" s="238">
        <f>Model!AC27</f>
        <v>12</v>
      </c>
      <c r="E8" s="292">
        <f t="shared" si="0"/>
        <v>60</v>
      </c>
      <c r="F8" s="233">
        <f t="shared" si="1"/>
        <v>266470.59000000003</v>
      </c>
      <c r="G8" s="395"/>
      <c r="H8" s="234">
        <f>Model!N27+Model!O27</f>
        <v>15988235.294117646</v>
      </c>
      <c r="I8" s="233"/>
      <c r="J8" s="396">
        <f>Model!$C$4</f>
        <v>0.15</v>
      </c>
      <c r="K8" s="396"/>
      <c r="L8" s="397">
        <f>Model!Y27</f>
        <v>480000</v>
      </c>
    </row>
    <row r="9" spans="1:32" x14ac:dyDescent="0.2">
      <c r="B9" s="236" t="s">
        <v>223</v>
      </c>
      <c r="C9" s="237">
        <f>Model!AB28</f>
        <v>0</v>
      </c>
      <c r="D9" s="238"/>
      <c r="E9" s="292">
        <f t="shared" si="0"/>
        <v>0</v>
      </c>
      <c r="F9" s="233">
        <f t="shared" si="1"/>
        <v>0</v>
      </c>
      <c r="G9" s="395"/>
      <c r="H9" s="234">
        <f>Model!N28</f>
        <v>0</v>
      </c>
      <c r="I9" s="233"/>
      <c r="J9" s="396"/>
      <c r="K9" s="396"/>
      <c r="L9" s="397"/>
    </row>
    <row r="10" spans="1:32" x14ac:dyDescent="0.2">
      <c r="B10" s="236" t="s">
        <v>183</v>
      </c>
      <c r="C10" s="237">
        <f>Model!AB29</f>
        <v>56</v>
      </c>
      <c r="D10" s="238"/>
      <c r="E10" s="292">
        <f t="shared" si="0"/>
        <v>56</v>
      </c>
      <c r="F10" s="233">
        <f t="shared" si="1"/>
        <v>526890.76</v>
      </c>
      <c r="G10" s="395"/>
      <c r="H10" s="234">
        <f>Model!N29</f>
        <v>29505882.352941178</v>
      </c>
      <c r="I10" s="233"/>
      <c r="J10" s="396"/>
      <c r="K10" s="396"/>
      <c r="L10" s="397"/>
    </row>
    <row r="11" spans="1:32" x14ac:dyDescent="0.2">
      <c r="B11" s="236" t="s">
        <v>46</v>
      </c>
      <c r="C11" s="239">
        <f>Model!AB40</f>
        <v>0</v>
      </c>
      <c r="D11" s="240">
        <f>Model!AC40</f>
        <v>0</v>
      </c>
      <c r="E11" s="292">
        <f t="shared" si="0"/>
        <v>0</v>
      </c>
      <c r="F11" s="233">
        <f t="shared" si="1"/>
        <v>0</v>
      </c>
      <c r="G11" s="395"/>
      <c r="H11" s="234">
        <f>Model!N40+Model!O40</f>
        <v>0</v>
      </c>
      <c r="I11" s="233"/>
      <c r="J11" s="396">
        <f>Model!$C$4</f>
        <v>0.15</v>
      </c>
      <c r="K11" s="396"/>
      <c r="L11" s="397">
        <f>Model!Y40</f>
        <v>0</v>
      </c>
    </row>
    <row r="12" spans="1:32" x14ac:dyDescent="0.2">
      <c r="B12" s="236" t="s">
        <v>49</v>
      </c>
      <c r="C12" s="239">
        <f>Model!AB41</f>
        <v>28</v>
      </c>
      <c r="D12" s="240">
        <f>Model!AC41</f>
        <v>2</v>
      </c>
      <c r="E12" s="292">
        <f t="shared" si="0"/>
        <v>30</v>
      </c>
      <c r="F12" s="233">
        <f t="shared" si="1"/>
        <v>300000</v>
      </c>
      <c r="G12" s="395"/>
      <c r="H12" s="234">
        <f>Model!N41+Model!O41</f>
        <v>9000000</v>
      </c>
      <c r="I12" s="233"/>
      <c r="J12" s="396">
        <f>Model!$C$4</f>
        <v>0.15</v>
      </c>
      <c r="K12" s="396"/>
      <c r="L12" s="397">
        <f>Model!V41</f>
        <v>68000</v>
      </c>
    </row>
    <row r="13" spans="1:32" x14ac:dyDescent="0.2">
      <c r="B13" s="236" t="s">
        <v>51</v>
      </c>
      <c r="C13" s="241">
        <f>Model!AB42</f>
        <v>38</v>
      </c>
      <c r="D13" s="242">
        <f>Model!AC42</f>
        <v>2</v>
      </c>
      <c r="E13" s="584">
        <f t="shared" si="0"/>
        <v>40</v>
      </c>
      <c r="F13" s="233">
        <f t="shared" si="1"/>
        <v>312500</v>
      </c>
      <c r="G13" s="395"/>
      <c r="H13" s="234">
        <f>Model!N42+Model!O42</f>
        <v>12500000</v>
      </c>
      <c r="I13" s="233"/>
      <c r="J13" s="396">
        <f>Model!$C$4</f>
        <v>0.15</v>
      </c>
      <c r="K13" s="396"/>
      <c r="L13" s="397">
        <f>Model!Y42</f>
        <v>94000</v>
      </c>
    </row>
    <row r="14" spans="1:32" x14ac:dyDescent="0.2">
      <c r="B14" s="243" t="s">
        <v>24</v>
      </c>
      <c r="C14" s="244"/>
      <c r="D14" s="244"/>
      <c r="E14" s="224" t="s">
        <v>224</v>
      </c>
      <c r="F14" s="245" t="s">
        <v>225</v>
      </c>
      <c r="G14" s="398"/>
      <c r="H14" s="246"/>
      <c r="I14" s="245"/>
      <c r="J14" s="399"/>
      <c r="K14" s="399"/>
      <c r="L14" s="400"/>
    </row>
    <row r="15" spans="1:32" x14ac:dyDescent="0.2">
      <c r="B15" s="206" t="s">
        <v>46</v>
      </c>
      <c r="C15" s="248"/>
      <c r="D15" s="248"/>
      <c r="E15" s="249">
        <f>Model!AE40</f>
        <v>0</v>
      </c>
      <c r="F15" s="233">
        <f t="shared" ref="F15:F21" si="2">ROUND(IFERROR(H15/E15,0),2)</f>
        <v>0</v>
      </c>
      <c r="G15" s="401"/>
      <c r="H15" s="234">
        <f>Model!M40</f>
        <v>0</v>
      </c>
      <c r="I15" s="233"/>
      <c r="J15" s="396"/>
      <c r="K15" s="396"/>
      <c r="L15" s="397"/>
    </row>
    <row r="16" spans="1:32" x14ac:dyDescent="0.2">
      <c r="B16" s="206" t="s">
        <v>49</v>
      </c>
      <c r="C16" s="248"/>
      <c r="D16" s="248"/>
      <c r="E16" s="249">
        <f>Model!AE41</f>
        <v>3500</v>
      </c>
      <c r="F16" s="233">
        <f t="shared" si="2"/>
        <v>250</v>
      </c>
      <c r="G16" s="401"/>
      <c r="H16" s="234">
        <f>Model!M41</f>
        <v>875000</v>
      </c>
      <c r="I16" s="233"/>
      <c r="J16" s="396"/>
      <c r="K16" s="396"/>
      <c r="L16" s="397"/>
    </row>
    <row r="17" spans="2:12" x14ac:dyDescent="0.2">
      <c r="B17" s="206" t="s">
        <v>51</v>
      </c>
      <c r="C17" s="248"/>
      <c r="D17" s="248"/>
      <c r="E17" s="249">
        <f>Model!AE42</f>
        <v>10000</v>
      </c>
      <c r="F17" s="233">
        <f t="shared" si="2"/>
        <v>250</v>
      </c>
      <c r="G17" s="401"/>
      <c r="H17" s="234">
        <f>Model!M42</f>
        <v>2500000</v>
      </c>
      <c r="I17" s="233"/>
      <c r="J17" s="396"/>
      <c r="K17" s="396"/>
      <c r="L17" s="397"/>
    </row>
    <row r="18" spans="2:12" x14ac:dyDescent="0.2">
      <c r="B18" s="206" t="s">
        <v>26</v>
      </c>
      <c r="C18" s="248"/>
      <c r="D18" s="248"/>
      <c r="E18" s="249">
        <f>Model!AE31</f>
        <v>45000</v>
      </c>
      <c r="F18" s="233">
        <f t="shared" si="2"/>
        <v>312.5</v>
      </c>
      <c r="G18" s="395"/>
      <c r="H18" s="234">
        <f>Model!M31</f>
        <v>14062500</v>
      </c>
      <c r="I18" s="233"/>
      <c r="J18" s="396"/>
      <c r="K18" s="396"/>
      <c r="L18" s="397"/>
    </row>
    <row r="19" spans="2:12" x14ac:dyDescent="0.2">
      <c r="B19" s="206" t="s">
        <v>28</v>
      </c>
      <c r="C19" s="248"/>
      <c r="D19" s="248"/>
      <c r="E19" s="249">
        <f>Model!AE32</f>
        <v>60000</v>
      </c>
      <c r="F19" s="233">
        <f t="shared" si="2"/>
        <v>312.5</v>
      </c>
      <c r="G19" s="395"/>
      <c r="H19" s="234">
        <f>Model!M32</f>
        <v>18750000</v>
      </c>
      <c r="I19" s="233"/>
      <c r="J19" s="396"/>
      <c r="K19" s="396"/>
      <c r="L19" s="397"/>
    </row>
    <row r="20" spans="2:12" x14ac:dyDescent="0.2">
      <c r="B20" s="206" t="s">
        <v>30</v>
      </c>
      <c r="C20" s="248"/>
      <c r="D20" s="248"/>
      <c r="E20" s="249">
        <f>Model!AE33</f>
        <v>0</v>
      </c>
      <c r="F20" s="233">
        <f t="shared" si="2"/>
        <v>0</v>
      </c>
      <c r="G20" s="395"/>
      <c r="H20" s="234">
        <f>Model!M33</f>
        <v>0</v>
      </c>
      <c r="I20" s="233"/>
      <c r="J20" s="396"/>
      <c r="K20" s="396"/>
      <c r="L20" s="397"/>
    </row>
    <row r="21" spans="2:12" x14ac:dyDescent="0.2">
      <c r="B21" s="206" t="s">
        <v>180</v>
      </c>
      <c r="C21" s="248"/>
      <c r="D21" s="248"/>
      <c r="E21" s="249">
        <f>Model!AE34</f>
        <v>120000</v>
      </c>
      <c r="F21" s="233">
        <f t="shared" si="2"/>
        <v>472.8</v>
      </c>
      <c r="G21" s="395"/>
      <c r="H21" s="234">
        <f>Model!M34</f>
        <v>56736000</v>
      </c>
      <c r="I21" s="233"/>
      <c r="J21" s="396"/>
      <c r="K21" s="396"/>
      <c r="L21" s="397"/>
    </row>
    <row r="22" spans="2:12" x14ac:dyDescent="0.2">
      <c r="B22" s="243" t="s">
        <v>34</v>
      </c>
      <c r="C22" s="244"/>
      <c r="D22" s="244"/>
      <c r="E22" s="224" t="s">
        <v>224</v>
      </c>
      <c r="F22" s="245" t="s">
        <v>225</v>
      </c>
      <c r="G22" s="398"/>
      <c r="H22" s="246"/>
      <c r="I22" s="245"/>
      <c r="J22" s="399"/>
      <c r="K22" s="399"/>
      <c r="L22" s="400"/>
    </row>
    <row r="23" spans="2:12" x14ac:dyDescent="0.2">
      <c r="B23" s="206" t="s">
        <v>46</v>
      </c>
      <c r="C23" s="248"/>
      <c r="D23" s="248"/>
      <c r="E23" s="249">
        <f>Model!AH40</f>
        <v>0</v>
      </c>
      <c r="F23" s="233">
        <f t="shared" ref="F23:F31" si="3">ROUND(IFERROR(H23/E23,0),2)</f>
        <v>0</v>
      </c>
      <c r="G23" s="395"/>
      <c r="H23" s="234">
        <f>Model!P40</f>
        <v>0</v>
      </c>
      <c r="I23" s="233"/>
      <c r="J23" s="396"/>
      <c r="K23" s="396"/>
      <c r="L23" s="397"/>
    </row>
    <row r="24" spans="2:12" x14ac:dyDescent="0.2">
      <c r="B24" s="206" t="s">
        <v>49</v>
      </c>
      <c r="C24" s="248"/>
      <c r="D24" s="248"/>
      <c r="E24" s="249">
        <f>Model!AH41</f>
        <v>5000</v>
      </c>
      <c r="F24" s="251">
        <f t="shared" si="3"/>
        <v>250</v>
      </c>
      <c r="G24" s="401"/>
      <c r="H24" s="234">
        <f>Model!P41</f>
        <v>1250000</v>
      </c>
      <c r="I24" s="233"/>
      <c r="J24" s="396"/>
      <c r="K24" s="396"/>
      <c r="L24" s="397"/>
    </row>
    <row r="25" spans="2:12" x14ac:dyDescent="0.2">
      <c r="B25" s="206" t="s">
        <v>51</v>
      </c>
      <c r="C25" s="248"/>
      <c r="D25" s="248"/>
      <c r="E25" s="249">
        <f>Model!AH42</f>
        <v>5000</v>
      </c>
      <c r="F25" s="251">
        <f t="shared" si="3"/>
        <v>250</v>
      </c>
      <c r="G25" s="401"/>
      <c r="H25" s="234">
        <f>Model!P42</f>
        <v>1250000</v>
      </c>
      <c r="I25" s="233"/>
      <c r="J25" s="396"/>
      <c r="K25" s="396"/>
      <c r="L25" s="397"/>
    </row>
    <row r="26" spans="2:12" x14ac:dyDescent="0.2">
      <c r="B26" s="206" t="s">
        <v>226</v>
      </c>
      <c r="C26" s="248"/>
      <c r="D26" s="248"/>
      <c r="E26" s="249">
        <f>Model!AH34</f>
        <v>5000</v>
      </c>
      <c r="F26" s="233">
        <f t="shared" si="3"/>
        <v>472.8</v>
      </c>
      <c r="G26" s="395"/>
      <c r="H26" s="234">
        <f>Model!P34</f>
        <v>2364000</v>
      </c>
      <c r="I26" s="233"/>
      <c r="J26" s="396"/>
      <c r="K26" s="396"/>
      <c r="L26" s="397"/>
    </row>
    <row r="27" spans="2:12" x14ac:dyDescent="0.2">
      <c r="B27" s="206" t="s">
        <v>227</v>
      </c>
      <c r="C27" s="248"/>
      <c r="D27" s="248"/>
      <c r="E27" s="249">
        <f>Model!AH27</f>
        <v>5000</v>
      </c>
      <c r="F27" s="233">
        <f t="shared" si="3"/>
        <v>199.85</v>
      </c>
      <c r="G27" s="395"/>
      <c r="H27" s="234">
        <f>Model!P27</f>
        <v>999264.70588235289</v>
      </c>
      <c r="I27" s="233"/>
      <c r="J27" s="396"/>
      <c r="K27" s="396"/>
      <c r="L27" s="397"/>
    </row>
    <row r="28" spans="2:12" x14ac:dyDescent="0.2">
      <c r="B28" s="206" t="s">
        <v>228</v>
      </c>
      <c r="C28" s="248"/>
      <c r="D28" s="248"/>
      <c r="E28" s="249">
        <f>+Model!AH29</f>
        <v>5000</v>
      </c>
      <c r="F28" s="233">
        <f t="shared" si="3"/>
        <v>368.82</v>
      </c>
      <c r="G28" s="395"/>
      <c r="H28" s="234">
        <f>Model!P29</f>
        <v>1844117.6470588236</v>
      </c>
      <c r="I28" s="233"/>
      <c r="J28" s="396"/>
      <c r="K28" s="396"/>
      <c r="L28" s="397"/>
    </row>
    <row r="29" spans="2:12" x14ac:dyDescent="0.2">
      <c r="B29" s="206" t="s">
        <v>185</v>
      </c>
      <c r="C29" s="248"/>
      <c r="D29" s="248"/>
      <c r="E29" s="249">
        <f>Model!AH35+Model!AH36</f>
        <v>40000</v>
      </c>
      <c r="F29" s="233">
        <f t="shared" si="3"/>
        <v>250</v>
      </c>
      <c r="G29" s="395"/>
      <c r="H29" s="234">
        <f>Model!P35+Model!P36</f>
        <v>10000000</v>
      </c>
      <c r="I29" s="233"/>
      <c r="J29" s="396"/>
      <c r="K29" s="396"/>
      <c r="L29" s="397"/>
    </row>
    <row r="30" spans="2:12" x14ac:dyDescent="0.2">
      <c r="B30" s="206" t="s">
        <v>186</v>
      </c>
      <c r="C30" s="248"/>
      <c r="D30" s="248"/>
      <c r="E30" s="249">
        <f>Model!AH37</f>
        <v>40000</v>
      </c>
      <c r="F30" s="233">
        <f t="shared" si="3"/>
        <v>287.5</v>
      </c>
      <c r="G30" s="395"/>
      <c r="H30" s="234">
        <f>Model!P37</f>
        <v>11500000</v>
      </c>
      <c r="I30" s="233"/>
      <c r="J30" s="396"/>
      <c r="K30" s="396"/>
      <c r="L30" s="397"/>
    </row>
    <row r="31" spans="2:12" x14ac:dyDescent="0.2">
      <c r="B31" s="206" t="s">
        <v>41</v>
      </c>
      <c r="C31" s="248"/>
      <c r="D31" s="248"/>
      <c r="E31" s="249">
        <f>Model!AH38</f>
        <v>0</v>
      </c>
      <c r="F31" s="233">
        <f t="shared" si="3"/>
        <v>0</v>
      </c>
      <c r="G31" s="395"/>
      <c r="H31" s="234">
        <f>Model!P38</f>
        <v>0</v>
      </c>
      <c r="I31" s="233"/>
      <c r="J31" s="396"/>
      <c r="K31" s="396"/>
      <c r="L31" s="397"/>
    </row>
    <row r="32" spans="2:12" x14ac:dyDescent="0.2">
      <c r="B32" s="252" t="s">
        <v>229</v>
      </c>
      <c r="C32" s="402"/>
      <c r="D32" s="402"/>
      <c r="E32" s="224" t="s">
        <v>224</v>
      </c>
      <c r="F32" s="245" t="s">
        <v>230</v>
      </c>
      <c r="G32" s="398"/>
      <c r="H32" s="246"/>
      <c r="I32" s="245"/>
      <c r="J32" s="399"/>
      <c r="K32" s="399"/>
      <c r="L32" s="400"/>
    </row>
    <row r="33" spans="2:12" x14ac:dyDescent="0.2">
      <c r="B33" s="206" t="s">
        <v>231</v>
      </c>
      <c r="C33" s="248"/>
      <c r="D33" s="248"/>
      <c r="E33" s="249">
        <f>Model!AI41</f>
        <v>3500</v>
      </c>
      <c r="F33" s="251">
        <f t="shared" ref="F33:F35" si="4">ROUND(IFERROR(H33/E33,0),2)</f>
        <v>250</v>
      </c>
      <c r="G33" s="401"/>
      <c r="H33" s="234">
        <f>Model!Q41</f>
        <v>875000</v>
      </c>
      <c r="I33" s="233"/>
      <c r="J33" s="396">
        <f>Model!$C$6</f>
        <v>0.15</v>
      </c>
      <c r="K33" s="396"/>
      <c r="L33" s="397">
        <f>Model!X41</f>
        <v>131000</v>
      </c>
    </row>
    <row r="34" spans="2:12" x14ac:dyDescent="0.2">
      <c r="B34" s="206" t="s">
        <v>232</v>
      </c>
      <c r="C34" s="248"/>
      <c r="D34" s="248"/>
      <c r="E34" s="249">
        <f>Model!AJ41</f>
        <v>0</v>
      </c>
      <c r="F34" s="251">
        <f t="shared" si="4"/>
        <v>0</v>
      </c>
      <c r="G34" s="401"/>
      <c r="H34" s="234">
        <f>Model!R41</f>
        <v>0</v>
      </c>
      <c r="I34" s="233"/>
      <c r="J34" s="396"/>
      <c r="K34" s="396"/>
      <c r="L34" s="397"/>
    </row>
    <row r="35" spans="2:12" x14ac:dyDescent="0.2">
      <c r="B35" s="206" t="s">
        <v>233</v>
      </c>
      <c r="C35" s="248"/>
      <c r="D35" s="248"/>
      <c r="E35" s="249">
        <f>Model!AJ42</f>
        <v>10000</v>
      </c>
      <c r="F35" s="251">
        <f t="shared" si="4"/>
        <v>250</v>
      </c>
      <c r="G35" s="401"/>
      <c r="H35" s="234">
        <f>Model!R42</f>
        <v>2500000</v>
      </c>
      <c r="I35" s="233"/>
      <c r="J35" s="396"/>
      <c r="K35" s="396"/>
      <c r="L35" s="397"/>
    </row>
    <row r="36" spans="2:12" x14ac:dyDescent="0.2">
      <c r="B36" s="243" t="s">
        <v>54</v>
      </c>
      <c r="C36" s="244"/>
      <c r="D36" s="244"/>
      <c r="E36" s="224" t="s">
        <v>92</v>
      </c>
      <c r="F36" s="403"/>
      <c r="G36" s="404"/>
      <c r="H36" s="246"/>
      <c r="I36" s="245"/>
      <c r="J36" s="399"/>
      <c r="K36" s="399"/>
      <c r="L36" s="400"/>
    </row>
    <row r="37" spans="2:12" x14ac:dyDescent="0.2">
      <c r="B37" s="206" t="s">
        <v>55</v>
      </c>
      <c r="C37" s="248"/>
      <c r="D37" s="248"/>
      <c r="E37" s="249">
        <f>Model!AL43</f>
        <v>20000</v>
      </c>
      <c r="F37" s="233">
        <f t="shared" ref="F37:F39" si="5">ROUND(IFERROR(H37/E37,0),2)</f>
        <v>92.5</v>
      </c>
      <c r="G37" s="395"/>
      <c r="H37" s="234">
        <f>Model!L43</f>
        <v>1850000</v>
      </c>
      <c r="I37" s="233"/>
      <c r="J37" s="396">
        <f>Model!$C$5</f>
        <v>0.5</v>
      </c>
      <c r="K37" s="396"/>
      <c r="L37" s="397">
        <f>Model!Y43</f>
        <v>925000</v>
      </c>
    </row>
    <row r="38" spans="2:12" x14ac:dyDescent="0.2">
      <c r="B38" s="206" t="s">
        <v>57</v>
      </c>
      <c r="C38" s="248"/>
      <c r="D38" s="248"/>
      <c r="E38" s="249">
        <f>Model!AL44</f>
        <v>10000</v>
      </c>
      <c r="F38" s="233">
        <f t="shared" si="5"/>
        <v>97.5</v>
      </c>
      <c r="G38" s="395"/>
      <c r="H38" s="234">
        <f>Model!L44</f>
        <v>975000</v>
      </c>
      <c r="I38" s="233"/>
      <c r="J38" s="396">
        <f>Model!$C$5</f>
        <v>0.5</v>
      </c>
      <c r="K38" s="396"/>
      <c r="L38" s="397">
        <f>Model!Y44</f>
        <v>488000</v>
      </c>
    </row>
    <row r="39" spans="2:12" x14ac:dyDescent="0.2">
      <c r="B39" s="206" t="s">
        <v>59</v>
      </c>
      <c r="C39" s="248"/>
      <c r="D39" s="248"/>
      <c r="E39" s="405">
        <f>Model!AL45</f>
        <v>0</v>
      </c>
      <c r="F39" s="406">
        <f t="shared" si="5"/>
        <v>0</v>
      </c>
      <c r="G39" s="407"/>
      <c r="H39" s="408">
        <f>Model!L45</f>
        <v>0</v>
      </c>
      <c r="I39" s="406"/>
      <c r="J39" s="409">
        <f>Model!$C$5</f>
        <v>0.5</v>
      </c>
      <c r="K39" s="409"/>
      <c r="L39" s="410">
        <f>Model!Y45</f>
        <v>0</v>
      </c>
    </row>
    <row r="40" spans="2:12" s="6" customFormat="1" x14ac:dyDescent="0.2">
      <c r="B40" s="243" t="s">
        <v>234</v>
      </c>
      <c r="C40" s="244"/>
      <c r="D40" s="244"/>
      <c r="E40" s="411"/>
      <c r="F40" s="412"/>
      <c r="G40" s="413"/>
      <c r="H40" s="414">
        <f>SUM(H6:H39)</f>
        <v>249864999.99999997</v>
      </c>
      <c r="I40" s="412"/>
      <c r="J40" s="415"/>
      <c r="K40" s="415"/>
      <c r="L40" s="416">
        <f>SUM(L6:L39)</f>
        <v>3162000</v>
      </c>
    </row>
    <row r="41" spans="2:12" x14ac:dyDescent="0.2">
      <c r="B41" s="76"/>
      <c r="L41" s="190"/>
    </row>
    <row r="42" spans="2:12" ht="16" x14ac:dyDescent="0.2">
      <c r="B42" s="417" t="s">
        <v>235</v>
      </c>
      <c r="C42" s="279"/>
      <c r="D42" s="418" t="s">
        <v>236</v>
      </c>
      <c r="E42" s="224" t="s">
        <v>224</v>
      </c>
      <c r="F42" s="257"/>
      <c r="G42" s="398"/>
      <c r="H42" s="246"/>
      <c r="I42" s="245"/>
      <c r="J42" s="399"/>
      <c r="K42" s="399"/>
      <c r="L42" s="400"/>
    </row>
    <row r="43" spans="2:12" x14ac:dyDescent="0.2">
      <c r="B43" s="419" t="s">
        <v>237</v>
      </c>
      <c r="C43" s="420"/>
      <c r="D43" s="421">
        <f>Model!L6*Model!I39</f>
        <v>0</v>
      </c>
      <c r="E43" s="422">
        <f>Model!AK39</f>
        <v>0</v>
      </c>
      <c r="F43" s="423"/>
      <c r="G43" s="251"/>
      <c r="H43" s="234"/>
      <c r="I43" s="233"/>
      <c r="J43" s="424" t="s">
        <v>238</v>
      </c>
      <c r="K43" s="396"/>
      <c r="L43" s="397"/>
    </row>
    <row r="44" spans="2:12" x14ac:dyDescent="0.2">
      <c r="B44" s="425" t="s">
        <v>53</v>
      </c>
      <c r="C44" s="426"/>
      <c r="D44" s="263">
        <f>Model!L6*Model!I30</f>
        <v>120</v>
      </c>
      <c r="E44" s="264">
        <f>Model!AK30</f>
        <v>60000</v>
      </c>
      <c r="F44" s="427"/>
      <c r="G44" s="233"/>
      <c r="H44" s="234"/>
      <c r="I44" s="233"/>
      <c r="J44" s="424" t="s">
        <v>238</v>
      </c>
      <c r="K44" s="396"/>
      <c r="L44" s="397"/>
    </row>
    <row r="45" spans="2:12" x14ac:dyDescent="0.2">
      <c r="B45" s="428" t="s">
        <v>239</v>
      </c>
      <c r="C45" s="429"/>
      <c r="D45" s="430"/>
      <c r="E45" s="431"/>
      <c r="F45" s="432"/>
      <c r="G45" s="251"/>
      <c r="H45" s="234">
        <f>-Model!L4</f>
        <v>0</v>
      </c>
      <c r="I45" s="233"/>
      <c r="J45" s="396"/>
      <c r="K45" s="396"/>
      <c r="L45" s="397"/>
    </row>
    <row r="46" spans="2:12" x14ac:dyDescent="0.2">
      <c r="B46" s="243" t="s">
        <v>240</v>
      </c>
      <c r="C46" s="244"/>
      <c r="D46" s="244"/>
      <c r="E46" s="267" t="s">
        <v>241</v>
      </c>
      <c r="F46" s="269"/>
      <c r="G46" s="404"/>
      <c r="H46" s="246"/>
      <c r="I46" s="245"/>
      <c r="J46" s="399"/>
      <c r="K46" s="399"/>
      <c r="L46" s="400"/>
    </row>
    <row r="47" spans="2:12" x14ac:dyDescent="0.2">
      <c r="B47" s="206" t="s">
        <v>10</v>
      </c>
      <c r="C47" s="248"/>
      <c r="D47" s="248"/>
      <c r="E47" s="249">
        <f>Model!AQ26+Model!AQ27+Model!AQ25+Model!AQ28+Model!AQ29</f>
        <v>411</v>
      </c>
      <c r="F47" s="233"/>
      <c r="G47" s="395"/>
      <c r="H47" s="234"/>
      <c r="I47" s="233"/>
      <c r="J47" s="396"/>
      <c r="K47" s="396"/>
      <c r="L47" s="397"/>
    </row>
    <row r="48" spans="2:12" x14ac:dyDescent="0.2">
      <c r="B48" s="206" t="s">
        <v>242</v>
      </c>
      <c r="C48" s="248"/>
      <c r="D48" s="248"/>
      <c r="E48" s="249">
        <f>Model!AQ31+Model!AQ32</f>
        <v>210</v>
      </c>
      <c r="F48" s="233"/>
      <c r="G48" s="395"/>
      <c r="H48" s="234"/>
      <c r="I48" s="233"/>
      <c r="J48" s="396"/>
      <c r="K48" s="396"/>
      <c r="L48" s="397"/>
    </row>
    <row r="49" spans="2:14" x14ac:dyDescent="0.2">
      <c r="B49" s="206" t="s">
        <v>243</v>
      </c>
      <c r="C49" s="248"/>
      <c r="D49" s="248"/>
      <c r="E49" s="249">
        <f>Model!AQ33+Model!AQ34</f>
        <v>255</v>
      </c>
      <c r="F49" s="233"/>
      <c r="G49" s="395"/>
      <c r="H49" s="234"/>
      <c r="I49" s="233"/>
      <c r="J49" s="396"/>
      <c r="K49" s="396"/>
      <c r="L49" s="397"/>
    </row>
    <row r="50" spans="2:14" x14ac:dyDescent="0.2">
      <c r="B50" s="206" t="s">
        <v>185</v>
      </c>
      <c r="C50" s="248"/>
      <c r="D50" s="248"/>
      <c r="E50" s="249">
        <f>Model!AQ35+Model!AQ36</f>
        <v>120</v>
      </c>
      <c r="F50" s="233"/>
      <c r="G50" s="395"/>
      <c r="H50" s="234"/>
      <c r="I50" s="233"/>
      <c r="J50" s="396"/>
      <c r="K50" s="396"/>
      <c r="L50" s="397"/>
    </row>
    <row r="51" spans="2:14" x14ac:dyDescent="0.2">
      <c r="B51" s="206" t="s">
        <v>186</v>
      </c>
      <c r="C51" s="248"/>
      <c r="D51" s="248"/>
      <c r="E51" s="249">
        <f>Model!AQ37</f>
        <v>160</v>
      </c>
      <c r="F51" s="233"/>
      <c r="G51" s="395"/>
      <c r="H51" s="234"/>
      <c r="I51" s="233"/>
      <c r="J51" s="396"/>
      <c r="K51" s="396"/>
      <c r="L51" s="397"/>
    </row>
    <row r="52" spans="2:14" x14ac:dyDescent="0.2">
      <c r="B52" s="206" t="s">
        <v>41</v>
      </c>
      <c r="C52" s="248"/>
      <c r="D52" s="248"/>
      <c r="E52" s="249">
        <f>Model!AQ38</f>
        <v>0</v>
      </c>
      <c r="F52" s="233"/>
      <c r="G52" s="395"/>
      <c r="H52" s="234"/>
      <c r="I52" s="233"/>
      <c r="J52" s="396"/>
      <c r="K52" s="396"/>
      <c r="L52" s="397"/>
    </row>
    <row r="53" spans="2:14" x14ac:dyDescent="0.2">
      <c r="B53" s="243" t="s">
        <v>244</v>
      </c>
      <c r="C53" s="244"/>
      <c r="D53" s="244"/>
      <c r="E53" s="433"/>
      <c r="F53" s="434"/>
      <c r="G53" s="435"/>
      <c r="H53" s="436">
        <f>Model!H5</f>
        <v>20000000</v>
      </c>
      <c r="I53" s="434"/>
      <c r="J53" s="437"/>
      <c r="K53" s="437"/>
      <c r="L53" s="438">
        <f>Model!H4</f>
        <v>25000000</v>
      </c>
      <c r="N53" s="388"/>
    </row>
    <row r="54" spans="2:14" x14ac:dyDescent="0.2">
      <c r="B54" s="243" t="s">
        <v>245</v>
      </c>
      <c r="C54" s="244"/>
      <c r="D54" s="244"/>
      <c r="E54" s="636"/>
      <c r="F54" s="406"/>
      <c r="G54" s="407"/>
      <c r="H54" s="408">
        <f>'Use Allocation'!J7</f>
        <v>1499190</v>
      </c>
      <c r="I54" s="406"/>
      <c r="J54" s="409"/>
      <c r="K54" s="409"/>
      <c r="L54" s="410"/>
      <c r="N54" s="388"/>
    </row>
    <row r="55" spans="2:14" s="6" customFormat="1" x14ac:dyDescent="0.2">
      <c r="B55" s="243" t="s">
        <v>246</v>
      </c>
      <c r="C55" s="244"/>
      <c r="D55" s="244"/>
      <c r="E55" s="411"/>
      <c r="F55" s="412"/>
      <c r="G55" s="413"/>
      <c r="H55" s="414">
        <f>H40+H45+H53+H54</f>
        <v>271364190</v>
      </c>
      <c r="I55" s="412"/>
      <c r="J55" s="415"/>
      <c r="K55" s="415"/>
      <c r="L55" s="416">
        <f>L40+L53</f>
        <v>28162000</v>
      </c>
    </row>
    <row r="56" spans="2:14" x14ac:dyDescent="0.2">
      <c r="B56" s="76"/>
      <c r="L56" s="120"/>
    </row>
    <row r="57" spans="2:14" s="138" customFormat="1" ht="16" x14ac:dyDescent="0.2">
      <c r="B57" s="222" t="s">
        <v>247</v>
      </c>
      <c r="C57" s="383" t="s">
        <v>220</v>
      </c>
      <c r="D57" s="439" t="s">
        <v>221</v>
      </c>
      <c r="E57" s="585" t="s">
        <v>142</v>
      </c>
      <c r="F57" s="440"/>
      <c r="G57" s="440"/>
      <c r="H57" s="243" t="s">
        <v>248</v>
      </c>
      <c r="I57" s="244"/>
      <c r="J57" s="244"/>
      <c r="K57" s="244"/>
      <c r="L57" s="276"/>
      <c r="N57" s="389"/>
    </row>
    <row r="58" spans="2:14" x14ac:dyDescent="0.2">
      <c r="B58" s="441" t="s">
        <v>249</v>
      </c>
      <c r="C58" s="442">
        <f>SUM(C6:C44)</f>
        <v>334</v>
      </c>
      <c r="D58" s="442">
        <f>SUM(D6:D41)</f>
        <v>44</v>
      </c>
      <c r="E58" s="586">
        <f>SUM(E6:E13)</f>
        <v>378</v>
      </c>
      <c r="F58" s="274"/>
      <c r="G58" s="274"/>
      <c r="H58" s="448" t="s">
        <v>80</v>
      </c>
      <c r="I58" s="449"/>
      <c r="J58" s="449"/>
      <c r="K58" s="449"/>
      <c r="L58" s="450">
        <f>'Use Allocation'!J7</f>
        <v>1499190</v>
      </c>
    </row>
    <row r="59" spans="2:14" x14ac:dyDescent="0.2">
      <c r="B59" s="443" t="s">
        <v>250</v>
      </c>
      <c r="C59" s="444"/>
      <c r="D59" s="444"/>
      <c r="E59" s="587">
        <f>SUM(D43:D44)</f>
        <v>120</v>
      </c>
      <c r="F59" s="274"/>
      <c r="G59" s="274"/>
    </row>
    <row r="60" spans="2:14" x14ac:dyDescent="0.2">
      <c r="B60" s="445" t="s">
        <v>251</v>
      </c>
      <c r="C60" s="446"/>
      <c r="D60" s="446"/>
      <c r="E60" s="447">
        <f>SUM(E47:E52)</f>
        <v>1156</v>
      </c>
      <c r="F60" s="275"/>
      <c r="G60" s="275"/>
    </row>
    <row r="61" spans="2:14" x14ac:dyDescent="0.2">
      <c r="B61" s="275"/>
      <c r="C61" s="275"/>
      <c r="D61" s="275"/>
      <c r="E61" s="275"/>
      <c r="F61" s="275"/>
      <c r="G61" s="275"/>
    </row>
    <row r="62" spans="2:14" x14ac:dyDescent="0.2">
      <c r="B62" s="275"/>
      <c r="C62" s="275"/>
      <c r="D62" s="275"/>
      <c r="E62" s="275"/>
      <c r="F62" s="275"/>
      <c r="G62" s="275"/>
    </row>
    <row r="63" spans="2:14" x14ac:dyDescent="0.2"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275"/>
    </row>
    <row r="64" spans="2:14" x14ac:dyDescent="0.2"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</row>
    <row r="65" spans="2:12" hidden="1" x14ac:dyDescent="0.2"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</row>
    <row r="66" spans="2:12" hidden="1" x14ac:dyDescent="0.2"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5"/>
    </row>
    <row r="67" spans="2:12" hidden="1" x14ac:dyDescent="0.2">
      <c r="B67" s="275"/>
      <c r="C67" s="275"/>
      <c r="D67" s="275"/>
      <c r="E67" s="275"/>
      <c r="F67" s="275"/>
      <c r="G67" s="275"/>
      <c r="H67" s="275"/>
      <c r="I67" s="275"/>
      <c r="J67" s="275"/>
      <c r="K67" s="275"/>
      <c r="L67" s="275"/>
    </row>
    <row r="68" spans="2:12" hidden="1" x14ac:dyDescent="0.2"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</row>
    <row r="69" spans="2:12" hidden="1" x14ac:dyDescent="0.2"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5"/>
    </row>
    <row r="70" spans="2:12" hidden="1" x14ac:dyDescent="0.2">
      <c r="B70" s="275"/>
      <c r="C70" s="275"/>
      <c r="D70" s="275"/>
      <c r="E70" s="275"/>
      <c r="F70" s="275"/>
      <c r="G70" s="275"/>
      <c r="H70" s="275"/>
      <c r="I70" s="275"/>
      <c r="J70" s="275"/>
      <c r="K70" s="275"/>
      <c r="L70" s="275"/>
    </row>
    <row r="71" spans="2:12" hidden="1" x14ac:dyDescent="0.2"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5"/>
    </row>
    <row r="72" spans="2:12" hidden="1" x14ac:dyDescent="0.2">
      <c r="B72" s="275"/>
      <c r="C72" s="275"/>
      <c r="D72" s="275"/>
      <c r="E72" s="275"/>
      <c r="F72" s="275"/>
      <c r="G72" s="275"/>
      <c r="H72" s="275"/>
      <c r="I72" s="275"/>
      <c r="J72" s="275"/>
      <c r="K72" s="275"/>
      <c r="L72" s="275"/>
    </row>
    <row r="73" spans="2:12" hidden="1" x14ac:dyDescent="0.2">
      <c r="B73" s="275"/>
      <c r="C73" s="275"/>
      <c r="D73" s="275"/>
      <c r="E73" s="275"/>
      <c r="F73" s="275"/>
      <c r="G73" s="275"/>
      <c r="H73" s="275"/>
      <c r="I73" s="275"/>
      <c r="J73" s="275"/>
      <c r="K73" s="275"/>
      <c r="L73" s="275"/>
    </row>
    <row r="74" spans="2:12" hidden="1" x14ac:dyDescent="0.2">
      <c r="B74" s="275"/>
      <c r="C74" s="275"/>
      <c r="D74" s="275"/>
      <c r="E74" s="275"/>
      <c r="F74" s="275"/>
      <c r="G74" s="275"/>
      <c r="H74" s="275"/>
      <c r="I74" s="275"/>
      <c r="J74" s="275"/>
      <c r="K74" s="275"/>
      <c r="L74" s="275"/>
    </row>
    <row r="75" spans="2:12" hidden="1" x14ac:dyDescent="0.2">
      <c r="B75" s="275"/>
      <c r="C75" s="275"/>
      <c r="D75" s="275"/>
      <c r="E75" s="275"/>
      <c r="F75" s="275"/>
      <c r="G75" s="275"/>
      <c r="H75" s="275"/>
      <c r="I75" s="275"/>
      <c r="J75" s="275"/>
      <c r="K75" s="275"/>
      <c r="L75" s="275"/>
    </row>
    <row r="76" spans="2:12" hidden="1" x14ac:dyDescent="0.2">
      <c r="B76" s="275"/>
      <c r="C76" s="275"/>
      <c r="D76" s="275"/>
      <c r="E76" s="275"/>
      <c r="F76" s="275"/>
      <c r="G76" s="275"/>
      <c r="H76" s="275"/>
      <c r="I76" s="275"/>
      <c r="J76" s="275"/>
      <c r="K76" s="275"/>
      <c r="L76" s="275"/>
    </row>
    <row r="77" spans="2:12" hidden="1" x14ac:dyDescent="0.2">
      <c r="B77" s="275"/>
      <c r="C77" s="275"/>
      <c r="D77" s="275"/>
      <c r="E77" s="275"/>
      <c r="F77" s="275"/>
      <c r="G77" s="275"/>
      <c r="H77" s="275"/>
      <c r="I77" s="275"/>
      <c r="J77" s="275"/>
      <c r="K77" s="275"/>
      <c r="L77" s="275"/>
    </row>
    <row r="78" spans="2:12" hidden="1" x14ac:dyDescent="0.2"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</row>
    <row r="79" spans="2:12" hidden="1" x14ac:dyDescent="0.2">
      <c r="B79" s="275"/>
      <c r="C79" s="275"/>
      <c r="D79" s="275"/>
      <c r="E79" s="275"/>
      <c r="F79" s="275"/>
      <c r="G79" s="275"/>
      <c r="H79" s="275"/>
      <c r="I79" s="275"/>
      <c r="J79" s="275"/>
      <c r="K79" s="275"/>
      <c r="L79" s="275"/>
    </row>
    <row r="80" spans="2:12" hidden="1" x14ac:dyDescent="0.2"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</row>
    <row r="81" spans="2:12" hidden="1" x14ac:dyDescent="0.2">
      <c r="B81" s="275"/>
      <c r="C81" s="275"/>
      <c r="D81" s="275"/>
      <c r="E81" s="275"/>
      <c r="F81" s="275"/>
      <c r="G81" s="275"/>
      <c r="H81" s="275"/>
      <c r="I81" s="275"/>
      <c r="J81" s="275"/>
      <c r="K81" s="275"/>
      <c r="L81" s="275"/>
    </row>
    <row r="82" spans="2:12" hidden="1" x14ac:dyDescent="0.2"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</row>
    <row r="83" spans="2:12" hidden="1" x14ac:dyDescent="0.2"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</row>
    <row r="84" spans="2:12" hidden="1" x14ac:dyDescent="0.2">
      <c r="B84" s="275"/>
      <c r="C84" s="275"/>
      <c r="D84" s="275"/>
      <c r="E84" s="275"/>
      <c r="F84" s="275"/>
      <c r="G84" s="275"/>
      <c r="H84" s="275"/>
      <c r="I84" s="275"/>
      <c r="J84" s="275"/>
      <c r="K84" s="275"/>
      <c r="L84" s="275"/>
    </row>
    <row r="85" spans="2:12" hidden="1" x14ac:dyDescent="0.2">
      <c r="B85" s="275"/>
      <c r="C85" s="275"/>
      <c r="D85" s="275"/>
      <c r="E85" s="275"/>
      <c r="F85" s="275"/>
      <c r="G85" s="275"/>
      <c r="H85" s="275"/>
      <c r="I85" s="275"/>
      <c r="J85" s="275"/>
      <c r="K85" s="275"/>
      <c r="L85" s="275"/>
    </row>
    <row r="86" spans="2:12" hidden="1" x14ac:dyDescent="0.2">
      <c r="B86" s="275"/>
      <c r="C86" s="275"/>
      <c r="D86" s="275"/>
      <c r="E86" s="275"/>
      <c r="F86" s="275"/>
      <c r="G86" s="275"/>
      <c r="H86" s="275"/>
      <c r="I86" s="275"/>
      <c r="J86" s="275"/>
      <c r="K86" s="275"/>
      <c r="L86" s="275"/>
    </row>
    <row r="87" spans="2:12" x14ac:dyDescent="0.2"/>
    <row r="88" spans="2:12" x14ac:dyDescent="0.2"/>
  </sheetData>
  <sheetProtection algorithmName="SHA-512" hashValue="8f9/2W8O9JDiJcpN/jB4VnsULUjl5f0hNaPkahran7vVoBUcYo11fg/JF47G5kzrlghUud4olSBk4PnV0yR9ng==" saltValue="4XBr34jGjQMVzZtYSdfaqQ==" spinCount="100000" sheet="1" objects="1" scenarios="1"/>
  <pageMargins left="0.25" right="0.25" top="0.75" bottom="0.75" header="0.3" footer="0.3"/>
  <pageSetup scale="7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0D51-9474-4D48-9F6D-167E20F023D1}">
  <sheetPr codeName="Sheet7">
    <tabColor rgb="FF0070C0"/>
  </sheetPr>
  <dimension ref="A1:M30"/>
  <sheetViews>
    <sheetView showGridLines="0" workbookViewId="0">
      <selection activeCell="E10" sqref="E10"/>
    </sheetView>
  </sheetViews>
  <sheetFormatPr baseColWidth="10" defaultColWidth="0" defaultRowHeight="15" zeroHeight="1" x14ac:dyDescent="0.2"/>
  <cols>
    <col min="1" max="1" width="1.5" customWidth="1"/>
    <col min="2" max="2" width="34" customWidth="1"/>
    <col min="3" max="3" width="14.83203125" customWidth="1"/>
    <col min="4" max="4" width="1.5" bestFit="1" customWidth="1"/>
    <col min="5" max="5" width="13.5" customWidth="1"/>
    <col min="6" max="7" width="9.1640625" customWidth="1"/>
    <col min="8" max="8" width="12.83203125" customWidth="1"/>
    <col min="9" max="9" width="16.83203125" customWidth="1"/>
    <col min="10" max="10" width="5.83203125" customWidth="1"/>
    <col min="11" max="13" width="0" hidden="1" customWidth="1"/>
    <col min="14" max="16384" width="9.1640625" hidden="1"/>
  </cols>
  <sheetData>
    <row r="1" spans="1:9" s="1" customFormat="1" x14ac:dyDescent="0.2">
      <c r="A1" s="1" t="s">
        <v>252</v>
      </c>
      <c r="B1" s="325"/>
    </row>
    <row r="2" spans="1:9" x14ac:dyDescent="0.2">
      <c r="B2" s="451"/>
      <c r="C2" s="451"/>
      <c r="D2" s="451"/>
      <c r="E2" s="452"/>
      <c r="F2" s="452"/>
      <c r="G2" s="453"/>
    </row>
    <row r="3" spans="1:9" x14ac:dyDescent="0.2">
      <c r="B3" s="454"/>
      <c r="C3" s="293"/>
      <c r="D3" s="293"/>
      <c r="E3" s="294"/>
      <c r="F3" s="294"/>
      <c r="G3" s="294"/>
      <c r="H3" s="294"/>
      <c r="I3" s="605"/>
    </row>
    <row r="4" spans="1:9" s="138" customFormat="1" ht="32" x14ac:dyDescent="0.2">
      <c r="B4" s="455"/>
      <c r="C4" s="456" t="s">
        <v>154</v>
      </c>
      <c r="D4" s="457" t="s">
        <v>253</v>
      </c>
      <c r="E4" s="458" t="s">
        <v>254</v>
      </c>
      <c r="F4" s="457" t="s">
        <v>215</v>
      </c>
      <c r="G4" s="458" t="s">
        <v>255</v>
      </c>
      <c r="H4" s="457" t="s">
        <v>256</v>
      </c>
      <c r="I4" s="606" t="s">
        <v>257</v>
      </c>
    </row>
    <row r="5" spans="1:9" x14ac:dyDescent="0.2">
      <c r="B5" s="454" t="s">
        <v>158</v>
      </c>
      <c r="C5" s="295" t="s">
        <v>142</v>
      </c>
      <c r="D5" s="459"/>
      <c r="E5" s="296"/>
      <c r="F5" s="296"/>
      <c r="G5" s="296"/>
      <c r="H5" s="296"/>
      <c r="I5" s="607"/>
    </row>
    <row r="6" spans="1:9" x14ac:dyDescent="0.2">
      <c r="B6" s="297" t="s">
        <v>46</v>
      </c>
      <c r="C6" s="298">
        <f>Costs!C11</f>
        <v>0</v>
      </c>
      <c r="D6" s="460"/>
      <c r="E6" s="299" t="s">
        <v>160</v>
      </c>
      <c r="F6" s="461"/>
      <c r="G6" s="299" t="s">
        <v>160</v>
      </c>
      <c r="H6" s="603"/>
      <c r="I6" s="608"/>
    </row>
    <row r="7" spans="1:9" x14ac:dyDescent="0.2">
      <c r="B7" s="300" t="s">
        <v>49</v>
      </c>
      <c r="C7" s="301">
        <f>Costs!C12</f>
        <v>28</v>
      </c>
      <c r="D7" s="462"/>
      <c r="E7" s="302" t="s">
        <v>160</v>
      </c>
      <c r="F7" s="463"/>
      <c r="G7" s="302" t="s">
        <v>160</v>
      </c>
      <c r="H7" s="604"/>
      <c r="I7" s="609"/>
    </row>
    <row r="8" spans="1:9" x14ac:dyDescent="0.2">
      <c r="B8" s="300" t="s">
        <v>51</v>
      </c>
      <c r="C8" s="301">
        <f>Costs!C13</f>
        <v>38</v>
      </c>
      <c r="D8" s="462"/>
      <c r="E8" s="302" t="s">
        <v>160</v>
      </c>
      <c r="F8" s="463"/>
      <c r="G8" s="302" t="s">
        <v>160</v>
      </c>
      <c r="H8" s="604"/>
      <c r="I8" s="609"/>
    </row>
    <row r="9" spans="1:9" x14ac:dyDescent="0.2">
      <c r="B9" s="300" t="s">
        <v>14</v>
      </c>
      <c r="C9" s="301">
        <f>Costs!C6</f>
        <v>68</v>
      </c>
      <c r="D9" s="462"/>
      <c r="E9" s="464">
        <v>24</v>
      </c>
      <c r="F9" s="465"/>
      <c r="G9" s="303">
        <f t="shared" ref="G9:G11" si="0">IFERROR(C9/E9,0)</f>
        <v>2.8333333333333335</v>
      </c>
      <c r="H9" s="604">
        <f t="shared" ref="H9:H11" si="1">MAX(G9-3,0)</f>
        <v>0</v>
      </c>
      <c r="I9" s="354">
        <f>Value!P6</f>
        <v>0</v>
      </c>
    </row>
    <row r="10" spans="1:9" x14ac:dyDescent="0.2">
      <c r="B10" s="300" t="s">
        <v>166</v>
      </c>
      <c r="C10" s="301">
        <f>Costs!C7+Costs!C8</f>
        <v>144</v>
      </c>
      <c r="D10" s="462"/>
      <c r="E10" s="464">
        <v>100</v>
      </c>
      <c r="F10" s="465"/>
      <c r="G10" s="303">
        <f>IFERROR(SUM($C$6:$C$8,$C$10)/E10,0)</f>
        <v>2.1</v>
      </c>
      <c r="H10" s="604">
        <f>MAX(G10-3,0)</f>
        <v>0</v>
      </c>
      <c r="I10" s="354">
        <f>Value!P7+Value!P8</f>
        <v>0</v>
      </c>
    </row>
    <row r="11" spans="1:9" x14ac:dyDescent="0.2">
      <c r="B11" s="304" t="s">
        <v>168</v>
      </c>
      <c r="C11" s="305">
        <f>Costs!C9+Costs!C10</f>
        <v>56</v>
      </c>
      <c r="D11" s="466"/>
      <c r="E11" s="467">
        <v>35</v>
      </c>
      <c r="F11" s="468"/>
      <c r="G11" s="312">
        <f t="shared" si="0"/>
        <v>1.6</v>
      </c>
      <c r="H11" s="475">
        <f t="shared" si="1"/>
        <v>0</v>
      </c>
      <c r="I11" s="354">
        <f>Value!P9+Value!P10</f>
        <v>0</v>
      </c>
    </row>
    <row r="12" spans="1:9" x14ac:dyDescent="0.2">
      <c r="B12" s="454" t="s">
        <v>24</v>
      </c>
      <c r="C12" s="295" t="s">
        <v>92</v>
      </c>
      <c r="D12" s="459"/>
      <c r="E12" s="296"/>
      <c r="F12" s="296"/>
      <c r="G12" s="296"/>
      <c r="H12" s="296"/>
      <c r="I12" s="607"/>
    </row>
    <row r="13" spans="1:9" x14ac:dyDescent="0.2">
      <c r="B13" s="300" t="s">
        <v>46</v>
      </c>
      <c r="C13" s="301">
        <f>Costs!E15</f>
        <v>0</v>
      </c>
      <c r="D13" s="462"/>
      <c r="E13" s="306" t="s">
        <v>171</v>
      </c>
      <c r="F13" s="470"/>
      <c r="G13" s="306" t="s">
        <v>171</v>
      </c>
      <c r="H13" s="604"/>
      <c r="I13" s="609"/>
    </row>
    <row r="14" spans="1:9" x14ac:dyDescent="0.2">
      <c r="B14" s="300" t="s">
        <v>49</v>
      </c>
      <c r="C14" s="301">
        <f>Costs!E16</f>
        <v>3500</v>
      </c>
      <c r="D14" s="462"/>
      <c r="E14" s="306" t="s">
        <v>171</v>
      </c>
      <c r="F14" s="470"/>
      <c r="G14" s="306" t="s">
        <v>171</v>
      </c>
      <c r="H14" s="604"/>
      <c r="I14" s="609"/>
    </row>
    <row r="15" spans="1:9" x14ac:dyDescent="0.2">
      <c r="B15" s="300" t="s">
        <v>51</v>
      </c>
      <c r="C15" s="301">
        <f>Costs!E17</f>
        <v>10000</v>
      </c>
      <c r="D15" s="462"/>
      <c r="E15" s="306" t="s">
        <v>171</v>
      </c>
      <c r="F15" s="470"/>
      <c r="G15" s="306" t="s">
        <v>171</v>
      </c>
      <c r="H15" s="604"/>
      <c r="I15" s="609"/>
    </row>
    <row r="16" spans="1:9" x14ac:dyDescent="0.2">
      <c r="B16" s="307" t="s">
        <v>174</v>
      </c>
      <c r="C16" s="301">
        <f>Costs!E18+Costs!E19</f>
        <v>105000</v>
      </c>
      <c r="D16" s="462"/>
      <c r="E16" s="471">
        <v>80000</v>
      </c>
      <c r="F16" s="472"/>
      <c r="G16" s="308">
        <f>IFERROR(SUM(C13:C16)/E16,0)</f>
        <v>1.48125</v>
      </c>
      <c r="H16" s="604">
        <f t="shared" ref="H16:H17" si="2">MAX(G16-3,0)</f>
        <v>0</v>
      </c>
      <c r="I16" s="354">
        <f>Value!P18+Value!P19</f>
        <v>0</v>
      </c>
    </row>
    <row r="17" spans="2:9" x14ac:dyDescent="0.2">
      <c r="B17" s="307" t="s">
        <v>175</v>
      </c>
      <c r="C17" s="301">
        <f>Costs!E20+Costs!E21</f>
        <v>120000</v>
      </c>
      <c r="D17" s="462"/>
      <c r="E17" s="471">
        <v>70000</v>
      </c>
      <c r="F17" s="472"/>
      <c r="G17" s="308">
        <f t="shared" ref="G17" si="3">IFERROR(C17/E17,0)</f>
        <v>1.7142857142857142</v>
      </c>
      <c r="H17" s="604">
        <f t="shared" si="2"/>
        <v>0</v>
      </c>
      <c r="I17" s="354">
        <f>Value!P20+Value!P21</f>
        <v>0</v>
      </c>
    </row>
    <row r="18" spans="2:9" x14ac:dyDescent="0.2">
      <c r="B18" s="454" t="s">
        <v>34</v>
      </c>
      <c r="C18" s="295" t="s">
        <v>92</v>
      </c>
      <c r="D18" s="459"/>
      <c r="E18" s="296"/>
      <c r="F18" s="296"/>
      <c r="G18" s="296"/>
      <c r="H18" s="296"/>
      <c r="I18" s="607"/>
    </row>
    <row r="19" spans="2:9" x14ac:dyDescent="0.2">
      <c r="B19" s="151" t="s">
        <v>46</v>
      </c>
      <c r="C19" s="310">
        <f>Costs!E23</f>
        <v>0</v>
      </c>
      <c r="D19" s="462"/>
      <c r="E19" s="306" t="s">
        <v>178</v>
      </c>
      <c r="F19" s="470"/>
      <c r="G19" s="306" t="s">
        <v>178</v>
      </c>
      <c r="H19" s="604"/>
      <c r="I19" s="608"/>
    </row>
    <row r="20" spans="2:9" x14ac:dyDescent="0.2">
      <c r="B20" s="151" t="s">
        <v>49</v>
      </c>
      <c r="C20" s="310">
        <f>Costs!E24</f>
        <v>5000</v>
      </c>
      <c r="D20" s="462"/>
      <c r="E20" s="306" t="s">
        <v>178</v>
      </c>
      <c r="F20" s="470"/>
      <c r="G20" s="306" t="s">
        <v>178</v>
      </c>
      <c r="H20" s="604"/>
      <c r="I20" s="609"/>
    </row>
    <row r="21" spans="2:9" x14ac:dyDescent="0.2">
      <c r="B21" s="151" t="s">
        <v>51</v>
      </c>
      <c r="C21" s="310">
        <f>Costs!E25</f>
        <v>5000</v>
      </c>
      <c r="D21" s="462"/>
      <c r="E21" s="306" t="s">
        <v>178</v>
      </c>
      <c r="F21" s="470"/>
      <c r="G21" s="306" t="s">
        <v>178</v>
      </c>
      <c r="H21" s="604"/>
      <c r="I21" s="609"/>
    </row>
    <row r="22" spans="2:9" x14ac:dyDescent="0.2">
      <c r="B22" s="151" t="s">
        <v>180</v>
      </c>
      <c r="C22" s="310">
        <f>Costs!E26</f>
        <v>5000</v>
      </c>
      <c r="D22" s="462"/>
      <c r="E22" s="306" t="s">
        <v>178</v>
      </c>
      <c r="F22" s="470"/>
      <c r="G22" s="306" t="s">
        <v>178</v>
      </c>
      <c r="H22" s="604"/>
      <c r="I22" s="609"/>
    </row>
    <row r="23" spans="2:9" x14ac:dyDescent="0.2">
      <c r="B23" s="151" t="s">
        <v>181</v>
      </c>
      <c r="C23" s="310">
        <f>Costs!E27</f>
        <v>5000</v>
      </c>
      <c r="D23" s="462"/>
      <c r="E23" s="306" t="s">
        <v>178</v>
      </c>
      <c r="F23" s="470"/>
      <c r="G23" s="306" t="s">
        <v>178</v>
      </c>
      <c r="H23" s="604"/>
      <c r="I23" s="609"/>
    </row>
    <row r="24" spans="2:9" x14ac:dyDescent="0.2">
      <c r="B24" s="151" t="s">
        <v>183</v>
      </c>
      <c r="C24" s="310">
        <f>Costs!E28</f>
        <v>5000</v>
      </c>
      <c r="D24" s="462"/>
      <c r="E24" s="306" t="s">
        <v>178</v>
      </c>
      <c r="F24" s="470"/>
      <c r="G24" s="306" t="s">
        <v>178</v>
      </c>
      <c r="H24" s="604"/>
      <c r="I24" s="609"/>
    </row>
    <row r="25" spans="2:9" x14ac:dyDescent="0.2">
      <c r="B25" s="151" t="s">
        <v>185</v>
      </c>
      <c r="C25" s="310">
        <f>Costs!E29</f>
        <v>40000</v>
      </c>
      <c r="D25" s="462"/>
      <c r="E25" s="471">
        <v>22000</v>
      </c>
      <c r="F25" s="472"/>
      <c r="G25" s="308">
        <f>IFERROR(SUM(C19:C25)/E25,0)</f>
        <v>2.9545454545454546</v>
      </c>
      <c r="H25" s="604">
        <f t="shared" ref="H25:H27" si="4">MAX(G25-3,0)</f>
        <v>0</v>
      </c>
      <c r="I25" s="354">
        <f>Value!P29</f>
        <v>0</v>
      </c>
    </row>
    <row r="26" spans="2:9" x14ac:dyDescent="0.2">
      <c r="B26" s="151" t="s">
        <v>186</v>
      </c>
      <c r="C26" s="310">
        <f>Costs!E30</f>
        <v>40000</v>
      </c>
      <c r="D26" s="462"/>
      <c r="E26" s="473">
        <v>15000</v>
      </c>
      <c r="F26" s="472"/>
      <c r="G26" s="308">
        <f t="shared" ref="G26:G27" si="5">IFERROR(C26/E26,0)</f>
        <v>2.6666666666666665</v>
      </c>
      <c r="H26" s="604">
        <f t="shared" si="4"/>
        <v>0</v>
      </c>
      <c r="I26" s="354">
        <f>Value!P30</f>
        <v>0</v>
      </c>
    </row>
    <row r="27" spans="2:9" x14ac:dyDescent="0.2">
      <c r="B27" s="152" t="s">
        <v>41</v>
      </c>
      <c r="C27" s="311">
        <f>Costs!E31</f>
        <v>0</v>
      </c>
      <c r="D27" s="466"/>
      <c r="E27" s="474">
        <v>30000</v>
      </c>
      <c r="F27" s="475"/>
      <c r="G27" s="469">
        <f t="shared" si="5"/>
        <v>0</v>
      </c>
      <c r="H27" s="475">
        <f t="shared" si="4"/>
        <v>0</v>
      </c>
      <c r="I27" s="610">
        <f>Value!P31</f>
        <v>0</v>
      </c>
    </row>
    <row r="28" spans="2:9" x14ac:dyDescent="0.2"/>
    <row r="29" spans="2:9" hidden="1" x14ac:dyDescent="0.2">
      <c r="B29" s="476"/>
    </row>
    <row r="30" spans="2:9" hidden="1" x14ac:dyDescent="0.2">
      <c r="B30" s="477"/>
    </row>
  </sheetData>
  <sheetProtection algorithmName="SHA-512" hashValue="nFnmoOX8qKRyoSnDTT+hKaFb7b4vYboaZrYUT5kuyY/LY1uE/ghqNNfchqrP/ryHELOgNxI9apO5KXXT/UTDdg==" saltValue="QmdnFff8bUi6NOEYz74YcQ==" spinCount="100000" sheet="1" objects="1" scenarios="1"/>
  <conditionalFormatting sqref="H9">
    <cfRule type="expression" dxfId="7" priority="7">
      <formula>$H$9&gt;0</formula>
    </cfRule>
  </conditionalFormatting>
  <conditionalFormatting sqref="H10">
    <cfRule type="expression" dxfId="6" priority="8">
      <formula>$H$10&gt;0</formula>
    </cfRule>
  </conditionalFormatting>
  <conditionalFormatting sqref="H11">
    <cfRule type="expression" dxfId="5" priority="6">
      <formula>$H$11&gt;0</formula>
    </cfRule>
  </conditionalFormatting>
  <conditionalFormatting sqref="H16">
    <cfRule type="expression" dxfId="4" priority="5">
      <formula>$H$16&gt;0</formula>
    </cfRule>
  </conditionalFormatting>
  <conditionalFormatting sqref="H17">
    <cfRule type="expression" dxfId="3" priority="4">
      <formula>$H$17&gt;0</formula>
    </cfRule>
  </conditionalFormatting>
  <conditionalFormatting sqref="H25">
    <cfRule type="expression" dxfId="2" priority="3">
      <formula>$H$25&gt;0</formula>
    </cfRule>
  </conditionalFormatting>
  <conditionalFormatting sqref="H26">
    <cfRule type="expression" dxfId="1" priority="2">
      <formula>$H$26&gt;0</formula>
    </cfRule>
  </conditionalFormatting>
  <conditionalFormatting sqref="H27">
    <cfRule type="expression" dxfId="0" priority="1">
      <formula>$H$27&gt;0</formula>
    </cfRule>
  </conditionalFormatting>
  <pageMargins left="0.7" right="0.7" top="0.75" bottom="0.75" header="0.3" footer="0.3"/>
  <pageSetup scale="85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1AD8-A249-47BB-8D0D-C24B4A3A600A}">
  <sheetPr codeName="Sheet8">
    <tabColor rgb="FF0070C0"/>
    <pageSetUpPr fitToPage="1"/>
  </sheetPr>
  <dimension ref="A1:AH82"/>
  <sheetViews>
    <sheetView showGridLines="0" zoomScale="118" zoomScaleNormal="118" workbookViewId="0">
      <selection activeCell="G52" sqref="G52"/>
    </sheetView>
  </sheetViews>
  <sheetFormatPr baseColWidth="10" defaultColWidth="0" defaultRowHeight="15" zeroHeight="1" x14ac:dyDescent="0.2"/>
  <cols>
    <col min="1" max="1" width="1.5" customWidth="1"/>
    <col min="2" max="2" width="28.5" customWidth="1"/>
    <col min="3" max="5" width="10.83203125" customWidth="1"/>
    <col min="6" max="10" width="12.5" customWidth="1"/>
    <col min="11" max="11" width="1.5" customWidth="1"/>
    <col min="12" max="12" width="13.5" bestFit="1" customWidth="1"/>
    <col min="13" max="13" width="1.5" customWidth="1"/>
    <col min="14" max="14" width="13.5" bestFit="1" customWidth="1"/>
    <col min="15" max="15" width="1.5" customWidth="1"/>
    <col min="16" max="16" width="15.1640625" bestFit="1" customWidth="1"/>
    <col min="17" max="17" width="1.5" customWidth="1"/>
    <col min="18" max="18" width="15.83203125" customWidth="1"/>
    <col min="19" max="19" width="1.5" customWidth="1"/>
    <col min="20" max="20" width="17" bestFit="1" customWidth="1"/>
    <col min="21" max="21" width="1.5" customWidth="1"/>
    <col min="22" max="22" width="9.1640625" customWidth="1"/>
    <col min="23" max="25" width="9.1640625" hidden="1" customWidth="1"/>
    <col min="26" max="26" width="14.5" hidden="1" customWidth="1"/>
    <col min="27" max="27" width="15.5" hidden="1" customWidth="1"/>
    <col min="28" max="28" width="14.5" hidden="1" customWidth="1"/>
    <col min="29" max="29" width="12.5" hidden="1" customWidth="1"/>
    <col min="30" max="30" width="4.5" hidden="1" customWidth="1"/>
    <col min="31" max="31" width="14.83203125" hidden="1" customWidth="1"/>
    <col min="32" max="32" width="12.83203125" hidden="1" customWidth="1"/>
    <col min="33" max="34" width="12.5" hidden="1" customWidth="1"/>
    <col min="35" max="16384" width="9.1640625" hidden="1"/>
  </cols>
  <sheetData>
    <row r="1" spans="1:22" x14ac:dyDescent="0.2">
      <c r="A1" s="1" t="s">
        <v>258</v>
      </c>
      <c r="B1" s="7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71"/>
      <c r="V1" s="1"/>
    </row>
    <row r="2" spans="1:22" x14ac:dyDescent="0.2">
      <c r="B2" s="208"/>
      <c r="C2" s="208"/>
      <c r="D2" s="208"/>
      <c r="E2" s="209"/>
      <c r="F2" s="209"/>
      <c r="G2" s="209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09"/>
      <c r="T2" s="209"/>
    </row>
    <row r="3" spans="1:22" x14ac:dyDescent="0.2">
      <c r="B3" s="417"/>
      <c r="C3" s="279"/>
      <c r="D3" s="279"/>
      <c r="E3" s="478"/>
      <c r="F3" s="478"/>
      <c r="G3" s="478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479"/>
    </row>
    <row r="4" spans="1:22" ht="32.25" customHeight="1" x14ac:dyDescent="0.2">
      <c r="B4" s="480"/>
      <c r="C4" s="481"/>
      <c r="D4" s="482"/>
      <c r="E4" s="482"/>
      <c r="F4" s="483" t="s">
        <v>259</v>
      </c>
      <c r="G4" s="482" t="s">
        <v>260</v>
      </c>
      <c r="H4" s="484" t="s">
        <v>261</v>
      </c>
      <c r="I4" s="485" t="s">
        <v>262</v>
      </c>
      <c r="J4" s="486" t="s">
        <v>263</v>
      </c>
      <c r="K4" s="487" t="s">
        <v>215</v>
      </c>
      <c r="L4" s="488" t="s">
        <v>137</v>
      </c>
      <c r="M4" s="487" t="s">
        <v>264</v>
      </c>
      <c r="N4" s="486" t="s">
        <v>265</v>
      </c>
      <c r="O4" s="487" t="s">
        <v>264</v>
      </c>
      <c r="P4" s="486" t="s">
        <v>266</v>
      </c>
      <c r="Q4" s="489" t="s">
        <v>267</v>
      </c>
      <c r="R4" s="486" t="s">
        <v>268</v>
      </c>
      <c r="S4" s="490" t="s">
        <v>215</v>
      </c>
      <c r="T4" s="488" t="s">
        <v>269</v>
      </c>
    </row>
    <row r="5" spans="1:22" ht="16" x14ac:dyDescent="0.2">
      <c r="B5" s="222" t="s">
        <v>10</v>
      </c>
      <c r="C5" s="223" t="s">
        <v>220</v>
      </c>
      <c r="D5" s="223" t="s">
        <v>221</v>
      </c>
      <c r="E5" s="582" t="s">
        <v>142</v>
      </c>
      <c r="F5" s="491"/>
      <c r="G5" s="226"/>
      <c r="H5" s="225" t="s">
        <v>270</v>
      </c>
      <c r="I5" s="492"/>
      <c r="J5" s="225"/>
      <c r="K5" s="493"/>
      <c r="L5" s="228"/>
      <c r="M5" s="493"/>
      <c r="N5" s="225"/>
      <c r="O5" s="493"/>
      <c r="P5" s="225"/>
      <c r="Q5" s="493"/>
      <c r="R5" s="225"/>
      <c r="S5" s="393"/>
      <c r="T5" s="394"/>
      <c r="V5" s="138"/>
    </row>
    <row r="6" spans="1:22" x14ac:dyDescent="0.2">
      <c r="B6" s="206" t="s">
        <v>14</v>
      </c>
      <c r="C6" s="230">
        <f>Costs!C6</f>
        <v>68</v>
      </c>
      <c r="D6" s="231">
        <f>Costs!D6</f>
        <v>4</v>
      </c>
      <c r="E6" s="583">
        <f>Costs!E6</f>
        <v>72</v>
      </c>
      <c r="F6" s="494">
        <f t="shared" ref="F6:G8" si="0">IFERROR(I6/C6,0)</f>
        <v>532867.6470588235</v>
      </c>
      <c r="G6" s="233">
        <f t="shared" si="0"/>
        <v>146750</v>
      </c>
      <c r="H6" s="233">
        <f>ROUND(IFERROR(L6/E6,0),2)</f>
        <v>511416.67</v>
      </c>
      <c r="I6" s="494">
        <f>Model!AZ25</f>
        <v>36235000</v>
      </c>
      <c r="J6" s="233">
        <f>Model!BA25</f>
        <v>587000</v>
      </c>
      <c r="K6" s="233"/>
      <c r="L6" s="235">
        <f t="shared" ref="L6:L13" si="1">I6+J6</f>
        <v>36822000</v>
      </c>
      <c r="M6" s="233"/>
      <c r="N6" s="233">
        <f>Costs!H6</f>
        <v>29340000</v>
      </c>
      <c r="O6" s="233"/>
      <c r="P6" s="495">
        <f>-Model!BM25</f>
        <v>0</v>
      </c>
      <c r="Q6" s="233"/>
      <c r="R6" s="233">
        <f>Costs!L6</f>
        <v>220000</v>
      </c>
      <c r="S6" s="396"/>
      <c r="T6" s="496">
        <f t="shared" ref="T6:T10" si="2">L6-N6+P6+R6</f>
        <v>7702000</v>
      </c>
      <c r="V6" s="388"/>
    </row>
    <row r="7" spans="1:22" x14ac:dyDescent="0.2">
      <c r="B7" s="236" t="s">
        <v>16</v>
      </c>
      <c r="C7" s="237">
        <f>Costs!C7</f>
        <v>96</v>
      </c>
      <c r="D7" s="238">
        <f>Costs!D7</f>
        <v>24</v>
      </c>
      <c r="E7" s="292">
        <f>Costs!E7</f>
        <v>120</v>
      </c>
      <c r="F7" s="494">
        <f t="shared" si="0"/>
        <v>277197.91666666669</v>
      </c>
      <c r="G7" s="233">
        <f t="shared" si="0"/>
        <v>84000</v>
      </c>
      <c r="H7" s="233">
        <f t="shared" ref="H7:H13" si="3">ROUND(IFERROR(L7/E7,0),2)</f>
        <v>238558.33</v>
      </c>
      <c r="I7" s="494">
        <f>Model!AZ26</f>
        <v>26611000</v>
      </c>
      <c r="J7" s="233">
        <f>Model!BA26</f>
        <v>2016000</v>
      </c>
      <c r="K7" s="233"/>
      <c r="L7" s="235">
        <f t="shared" ref="L7:L10" si="4">I7+J7</f>
        <v>28627000</v>
      </c>
      <c r="M7" s="233"/>
      <c r="N7" s="233">
        <f>Costs!H7</f>
        <v>25200000</v>
      </c>
      <c r="O7" s="233"/>
      <c r="P7" s="495">
        <f>-Model!BM26</f>
        <v>0</v>
      </c>
      <c r="Q7" s="233"/>
      <c r="R7" s="233">
        <f>Costs!L7</f>
        <v>756000</v>
      </c>
      <c r="S7" s="396"/>
      <c r="T7" s="496">
        <f t="shared" si="2"/>
        <v>4183000</v>
      </c>
      <c r="V7" s="388"/>
    </row>
    <row r="8" spans="1:22" x14ac:dyDescent="0.2">
      <c r="B8" s="236" t="s">
        <v>181</v>
      </c>
      <c r="C8" s="237">
        <f>Costs!C8</f>
        <v>48</v>
      </c>
      <c r="D8" s="238">
        <f>Costs!D8</f>
        <v>12</v>
      </c>
      <c r="E8" s="292">
        <f>Costs!E8</f>
        <v>60</v>
      </c>
      <c r="F8" s="494">
        <f t="shared" si="0"/>
        <v>341187.5</v>
      </c>
      <c r="G8" s="233">
        <f t="shared" si="0"/>
        <v>106583.33333333333</v>
      </c>
      <c r="H8" s="233">
        <f t="shared" si="3"/>
        <v>294266.67</v>
      </c>
      <c r="I8" s="494">
        <f>Model!AZ27</f>
        <v>16377000</v>
      </c>
      <c r="J8" s="233">
        <f>Model!BA27</f>
        <v>1279000</v>
      </c>
      <c r="K8" s="233"/>
      <c r="L8" s="235">
        <f t="shared" si="4"/>
        <v>17656000</v>
      </c>
      <c r="M8" s="233"/>
      <c r="N8" s="233">
        <f>Costs!H8</f>
        <v>15988235.294117646</v>
      </c>
      <c r="O8" s="233"/>
      <c r="P8" s="495">
        <f>-Model!BM27</f>
        <v>0</v>
      </c>
      <c r="Q8" s="233"/>
      <c r="R8" s="233">
        <f>Costs!L8</f>
        <v>480000</v>
      </c>
      <c r="S8" s="396"/>
      <c r="T8" s="496">
        <f t="shared" si="2"/>
        <v>2147764.7058823537</v>
      </c>
      <c r="V8" s="388"/>
    </row>
    <row r="9" spans="1:22" x14ac:dyDescent="0.2">
      <c r="B9" s="236" t="s">
        <v>223</v>
      </c>
      <c r="C9" s="237">
        <f>Costs!C9</f>
        <v>0</v>
      </c>
      <c r="D9" s="240"/>
      <c r="E9" s="292">
        <f>Costs!E9</f>
        <v>0</v>
      </c>
      <c r="F9" s="494">
        <f>IFERROR(I9/C9,0)</f>
        <v>0</v>
      </c>
      <c r="G9" s="233"/>
      <c r="H9" s="233">
        <f t="shared" si="3"/>
        <v>0</v>
      </c>
      <c r="I9" s="494">
        <f>Model!AZ28</f>
        <v>0</v>
      </c>
      <c r="J9" s="233"/>
      <c r="K9" s="233"/>
      <c r="L9" s="235">
        <f t="shared" si="4"/>
        <v>0</v>
      </c>
      <c r="M9" s="233"/>
      <c r="N9" s="233">
        <f>Costs!H9</f>
        <v>0</v>
      </c>
      <c r="O9" s="233"/>
      <c r="P9" s="495">
        <f>-Model!BM28</f>
        <v>0</v>
      </c>
      <c r="Q9" s="233"/>
      <c r="R9" s="233"/>
      <c r="S9" s="396"/>
      <c r="T9" s="496">
        <f t="shared" si="2"/>
        <v>0</v>
      </c>
      <c r="V9" s="388"/>
    </row>
    <row r="10" spans="1:22" x14ac:dyDescent="0.2">
      <c r="B10" s="236" t="s">
        <v>183</v>
      </c>
      <c r="C10" s="237">
        <f>Costs!C10</f>
        <v>56</v>
      </c>
      <c r="D10" s="240"/>
      <c r="E10" s="292">
        <f>Costs!E10</f>
        <v>56</v>
      </c>
      <c r="F10" s="494">
        <f>IFERROR(I10/C10,0)</f>
        <v>726500</v>
      </c>
      <c r="G10" s="233"/>
      <c r="H10" s="233">
        <f t="shared" si="3"/>
        <v>726500</v>
      </c>
      <c r="I10" s="494">
        <f>Model!AZ29</f>
        <v>40684000</v>
      </c>
      <c r="J10" s="233"/>
      <c r="K10" s="233"/>
      <c r="L10" s="235">
        <f t="shared" si="4"/>
        <v>40684000</v>
      </c>
      <c r="M10" s="233"/>
      <c r="N10" s="233">
        <f>Costs!H10</f>
        <v>29505882.352941178</v>
      </c>
      <c r="O10" s="233"/>
      <c r="P10" s="495">
        <f>-Model!BM29</f>
        <v>0</v>
      </c>
      <c r="Q10" s="233"/>
      <c r="R10" s="233"/>
      <c r="S10" s="396"/>
      <c r="T10" s="496">
        <f t="shared" si="2"/>
        <v>11178117.647058822</v>
      </c>
      <c r="V10" s="388"/>
    </row>
    <row r="11" spans="1:22" x14ac:dyDescent="0.2">
      <c r="B11" s="206" t="s">
        <v>46</v>
      </c>
      <c r="C11" s="237">
        <f>Costs!C11</f>
        <v>0</v>
      </c>
      <c r="D11" s="240">
        <f>Costs!D11</f>
        <v>0</v>
      </c>
      <c r="E11" s="292">
        <f>Costs!E11</f>
        <v>0</v>
      </c>
      <c r="F11" s="494">
        <f>IFERROR(I11/C11,0)</f>
        <v>0</v>
      </c>
      <c r="G11" s="233">
        <f>IFERROR(J11/D11,0)</f>
        <v>0</v>
      </c>
      <c r="H11" s="233">
        <f t="shared" si="3"/>
        <v>0</v>
      </c>
      <c r="I11" s="494">
        <f>Model!AZ40</f>
        <v>0</v>
      </c>
      <c r="J11" s="233">
        <f>Model!BA40</f>
        <v>0</v>
      </c>
      <c r="K11" s="233"/>
      <c r="L11" s="235">
        <f t="shared" si="1"/>
        <v>0</v>
      </c>
      <c r="M11" s="233"/>
      <c r="N11" s="233">
        <f>Costs!H11</f>
        <v>0</v>
      </c>
      <c r="O11" s="233"/>
      <c r="P11" s="497" t="s">
        <v>160</v>
      </c>
      <c r="Q11" s="233"/>
      <c r="R11" s="233">
        <f>Costs!L11</f>
        <v>0</v>
      </c>
      <c r="S11" s="396"/>
      <c r="T11" s="496">
        <f>L11-N11+R11</f>
        <v>0</v>
      </c>
      <c r="V11" s="388"/>
    </row>
    <row r="12" spans="1:22" x14ac:dyDescent="0.2">
      <c r="B12" s="206" t="s">
        <v>49</v>
      </c>
      <c r="C12" s="239">
        <f>Costs!C12</f>
        <v>28</v>
      </c>
      <c r="D12" s="240">
        <f>Costs!D12</f>
        <v>2</v>
      </c>
      <c r="E12" s="292">
        <f>Costs!E12</f>
        <v>30</v>
      </c>
      <c r="F12" s="494">
        <f>IFERROR(I12/C12,0)</f>
        <v>403071.42857142858</v>
      </c>
      <c r="G12" s="233">
        <f>IFERROR(J12/D12,0)</f>
        <v>90000</v>
      </c>
      <c r="H12" s="233">
        <f t="shared" si="3"/>
        <v>382200</v>
      </c>
      <c r="I12" s="494">
        <f>Model!AZ41</f>
        <v>11286000</v>
      </c>
      <c r="J12" s="233">
        <f>Model!BA41</f>
        <v>180000</v>
      </c>
      <c r="K12" s="233"/>
      <c r="L12" s="235">
        <f t="shared" si="1"/>
        <v>11466000</v>
      </c>
      <c r="M12" s="233"/>
      <c r="N12" s="233">
        <f>Costs!H12</f>
        <v>9000000</v>
      </c>
      <c r="O12" s="233"/>
      <c r="P12" s="233" t="s">
        <v>160</v>
      </c>
      <c r="Q12" s="233"/>
      <c r="R12" s="233">
        <f>Costs!L12</f>
        <v>68000</v>
      </c>
      <c r="S12" s="396"/>
      <c r="T12" s="496">
        <f t="shared" ref="T12:T17" si="5">L12-N12+R12</f>
        <v>2534000</v>
      </c>
      <c r="V12" s="388"/>
    </row>
    <row r="13" spans="1:22" x14ac:dyDescent="0.2">
      <c r="B13" s="206" t="s">
        <v>51</v>
      </c>
      <c r="C13" s="241">
        <f>Costs!C13</f>
        <v>38</v>
      </c>
      <c r="D13" s="242">
        <f>Costs!D13</f>
        <v>2</v>
      </c>
      <c r="E13" s="584">
        <f>Costs!E13</f>
        <v>40</v>
      </c>
      <c r="F13" s="494">
        <f>IFERROR(I13/C13,0)</f>
        <v>396868.42105263157</v>
      </c>
      <c r="G13" s="233">
        <f>IFERROR(J13/D13,0)</f>
        <v>125000</v>
      </c>
      <c r="H13" s="233">
        <f t="shared" si="3"/>
        <v>383275</v>
      </c>
      <c r="I13" s="494">
        <f>Model!AZ42</f>
        <v>15081000</v>
      </c>
      <c r="J13" s="233">
        <f>Model!BA42</f>
        <v>250000</v>
      </c>
      <c r="K13" s="233"/>
      <c r="L13" s="235">
        <f t="shared" si="1"/>
        <v>15331000</v>
      </c>
      <c r="M13" s="233"/>
      <c r="N13" s="233">
        <f>Costs!H13</f>
        <v>12500000</v>
      </c>
      <c r="O13" s="233"/>
      <c r="P13" s="233" t="s">
        <v>160</v>
      </c>
      <c r="Q13" s="233"/>
      <c r="R13" s="233">
        <f>Costs!L13</f>
        <v>94000</v>
      </c>
      <c r="S13" s="396"/>
      <c r="T13" s="496">
        <f t="shared" si="5"/>
        <v>2925000</v>
      </c>
      <c r="V13" s="388"/>
    </row>
    <row r="14" spans="1:22" x14ac:dyDescent="0.2">
      <c r="B14" s="243" t="s">
        <v>24</v>
      </c>
      <c r="C14" s="244"/>
      <c r="D14" s="244"/>
      <c r="E14" s="224" t="s">
        <v>224</v>
      </c>
      <c r="F14" s="226"/>
      <c r="G14" s="226"/>
      <c r="H14" s="245" t="s">
        <v>271</v>
      </c>
      <c r="I14" s="498"/>
      <c r="J14" s="245"/>
      <c r="K14" s="245"/>
      <c r="L14" s="247"/>
      <c r="M14" s="245"/>
      <c r="N14" s="245"/>
      <c r="O14" s="245"/>
      <c r="P14" s="245"/>
      <c r="Q14" s="245"/>
      <c r="R14" s="245"/>
      <c r="S14" s="399"/>
      <c r="T14" s="400"/>
    </row>
    <row r="15" spans="1:22" x14ac:dyDescent="0.2">
      <c r="B15" s="499" t="s">
        <v>46</v>
      </c>
      <c r="C15" s="500"/>
      <c r="D15" s="500"/>
      <c r="E15" s="501">
        <f>Costs!E15</f>
        <v>0</v>
      </c>
      <c r="F15" s="502"/>
      <c r="G15" s="502"/>
      <c r="H15" s="503">
        <f t="shared" ref="H15:H21" si="6">ROUND(IFERROR(L15/E15,0),2)</f>
        <v>0</v>
      </c>
      <c r="I15" s="504"/>
      <c r="J15" s="503"/>
      <c r="K15" s="505"/>
      <c r="L15" s="506">
        <f>Model!AY40</f>
        <v>0</v>
      </c>
      <c r="M15" s="505"/>
      <c r="N15" s="503">
        <f>Costs!H15</f>
        <v>0</v>
      </c>
      <c r="O15" s="505"/>
      <c r="P15" s="503" t="s">
        <v>272</v>
      </c>
      <c r="Q15" s="505"/>
      <c r="R15" s="503"/>
      <c r="S15" s="507"/>
      <c r="T15" s="508">
        <f t="shared" si="5"/>
        <v>0</v>
      </c>
    </row>
    <row r="16" spans="1:22" x14ac:dyDescent="0.2">
      <c r="B16" s="206" t="s">
        <v>49</v>
      </c>
      <c r="C16" s="248"/>
      <c r="D16" s="248"/>
      <c r="E16" s="249">
        <f>Costs!E16</f>
        <v>3500</v>
      </c>
      <c r="F16" s="250"/>
      <c r="G16" s="250"/>
      <c r="H16" s="233">
        <f t="shared" si="6"/>
        <v>312.57</v>
      </c>
      <c r="I16" s="494"/>
      <c r="J16" s="233"/>
      <c r="K16" s="251"/>
      <c r="L16" s="235">
        <f>Model!AY41</f>
        <v>1094000</v>
      </c>
      <c r="M16" s="251"/>
      <c r="N16" s="233">
        <f>Costs!H16</f>
        <v>875000</v>
      </c>
      <c r="O16" s="251"/>
      <c r="P16" s="233" t="s">
        <v>272</v>
      </c>
      <c r="Q16" s="251"/>
      <c r="R16" s="233"/>
      <c r="S16" s="396"/>
      <c r="T16" s="496">
        <f t="shared" si="5"/>
        <v>219000</v>
      </c>
    </row>
    <row r="17" spans="2:20" x14ac:dyDescent="0.2">
      <c r="B17" s="206" t="s">
        <v>51</v>
      </c>
      <c r="C17" s="248"/>
      <c r="D17" s="248"/>
      <c r="E17" s="249">
        <f>Costs!E17</f>
        <v>10000</v>
      </c>
      <c r="F17" s="250"/>
      <c r="G17" s="250"/>
      <c r="H17" s="233">
        <f t="shared" si="6"/>
        <v>300</v>
      </c>
      <c r="I17" s="494"/>
      <c r="J17" s="233"/>
      <c r="K17" s="251"/>
      <c r="L17" s="235">
        <f>Model!AY42</f>
        <v>3000000</v>
      </c>
      <c r="M17" s="251"/>
      <c r="N17" s="233">
        <f>Costs!H17</f>
        <v>2500000</v>
      </c>
      <c r="O17" s="251"/>
      <c r="P17" s="233" t="s">
        <v>272</v>
      </c>
      <c r="Q17" s="251"/>
      <c r="R17" s="233"/>
      <c r="S17" s="396"/>
      <c r="T17" s="496">
        <f t="shared" si="5"/>
        <v>500000</v>
      </c>
    </row>
    <row r="18" spans="2:20" x14ac:dyDescent="0.2">
      <c r="B18" s="206" t="s">
        <v>26</v>
      </c>
      <c r="C18" s="248"/>
      <c r="D18" s="248"/>
      <c r="E18" s="249">
        <f>Costs!E18</f>
        <v>45000</v>
      </c>
      <c r="F18" s="250"/>
      <c r="G18" s="250"/>
      <c r="H18" s="233">
        <f t="shared" si="6"/>
        <v>407.82</v>
      </c>
      <c r="I18" s="494"/>
      <c r="J18" s="233"/>
      <c r="K18" s="233"/>
      <c r="L18" s="235">
        <f>Model!AY31</f>
        <v>18352000</v>
      </c>
      <c r="M18" s="233"/>
      <c r="N18" s="233">
        <f>Costs!H18</f>
        <v>14062500</v>
      </c>
      <c r="O18" s="233"/>
      <c r="P18" s="495">
        <f>-Model!BL31</f>
        <v>0</v>
      </c>
      <c r="Q18" s="233"/>
      <c r="R18" s="233"/>
      <c r="S18" s="396"/>
      <c r="T18" s="496">
        <f t="shared" ref="T18:T21" si="7">L18-N18+P18+R18</f>
        <v>4289500</v>
      </c>
    </row>
    <row r="19" spans="2:20" x14ac:dyDescent="0.2">
      <c r="B19" s="206" t="s">
        <v>28</v>
      </c>
      <c r="C19" s="248"/>
      <c r="D19" s="248"/>
      <c r="E19" s="249">
        <f>Costs!E19</f>
        <v>60000</v>
      </c>
      <c r="F19" s="250"/>
      <c r="G19" s="250"/>
      <c r="H19" s="233">
        <f t="shared" si="6"/>
        <v>407.82</v>
      </c>
      <c r="I19" s="494"/>
      <c r="J19" s="233"/>
      <c r="K19" s="233"/>
      <c r="L19" s="235">
        <f>Model!AY32</f>
        <v>24469000</v>
      </c>
      <c r="M19" s="233"/>
      <c r="N19" s="233">
        <f>Costs!H19</f>
        <v>18750000</v>
      </c>
      <c r="O19" s="233"/>
      <c r="P19" s="495">
        <f>-Model!BL32</f>
        <v>0</v>
      </c>
      <c r="Q19" s="233"/>
      <c r="R19" s="233"/>
      <c r="S19" s="396"/>
      <c r="T19" s="496">
        <f t="shared" si="7"/>
        <v>5719000</v>
      </c>
    </row>
    <row r="20" spans="2:20" x14ac:dyDescent="0.2">
      <c r="B20" s="206" t="s">
        <v>30</v>
      </c>
      <c r="C20" s="248"/>
      <c r="D20" s="248"/>
      <c r="E20" s="249">
        <f>Costs!E20</f>
        <v>0</v>
      </c>
      <c r="F20" s="250"/>
      <c r="G20" s="250"/>
      <c r="H20" s="233">
        <f t="shared" si="6"/>
        <v>0</v>
      </c>
      <c r="I20" s="494"/>
      <c r="J20" s="233"/>
      <c r="K20" s="233"/>
      <c r="L20" s="235">
        <f>Model!AY33</f>
        <v>0</v>
      </c>
      <c r="M20" s="233"/>
      <c r="N20" s="233">
        <f>Costs!H20</f>
        <v>0</v>
      </c>
      <c r="O20" s="233"/>
      <c r="P20" s="495">
        <f>-Model!BL33</f>
        <v>0</v>
      </c>
      <c r="Q20" s="233"/>
      <c r="R20" s="233"/>
      <c r="S20" s="396"/>
      <c r="T20" s="496">
        <f t="shared" si="7"/>
        <v>0</v>
      </c>
    </row>
    <row r="21" spans="2:20" x14ac:dyDescent="0.2">
      <c r="B21" s="206" t="s">
        <v>180</v>
      </c>
      <c r="C21" s="429"/>
      <c r="D21" s="429"/>
      <c r="E21" s="249">
        <f>Costs!E21</f>
        <v>120000</v>
      </c>
      <c r="F21" s="250"/>
      <c r="G21" s="250"/>
      <c r="H21" s="233">
        <f t="shared" si="6"/>
        <v>600.78</v>
      </c>
      <c r="I21" s="494"/>
      <c r="J21" s="233"/>
      <c r="K21" s="233"/>
      <c r="L21" s="235">
        <f>Model!AY34</f>
        <v>72094000</v>
      </c>
      <c r="M21" s="233"/>
      <c r="N21" s="233">
        <f>Costs!H21</f>
        <v>56736000</v>
      </c>
      <c r="O21" s="233"/>
      <c r="P21" s="495">
        <f>-Model!BL34</f>
        <v>0</v>
      </c>
      <c r="Q21" s="233"/>
      <c r="R21" s="233"/>
      <c r="S21" s="396"/>
      <c r="T21" s="496">
        <f t="shared" si="7"/>
        <v>15358000</v>
      </c>
    </row>
    <row r="22" spans="2:20" x14ac:dyDescent="0.2">
      <c r="B22" s="243" t="s">
        <v>34</v>
      </c>
      <c r="C22" s="244"/>
      <c r="D22" s="244"/>
      <c r="E22" s="224" t="s">
        <v>224</v>
      </c>
      <c r="F22" s="226"/>
      <c r="G22" s="226"/>
      <c r="H22" s="245" t="s">
        <v>271</v>
      </c>
      <c r="I22" s="498"/>
      <c r="J22" s="245"/>
      <c r="K22" s="245"/>
      <c r="L22" s="247"/>
      <c r="M22" s="245"/>
      <c r="N22" s="245"/>
      <c r="O22" s="245"/>
      <c r="P22" s="245"/>
      <c r="Q22" s="245"/>
      <c r="R22" s="245"/>
      <c r="S22" s="399"/>
      <c r="T22" s="400"/>
    </row>
    <row r="23" spans="2:20" x14ac:dyDescent="0.2">
      <c r="B23" s="206" t="s">
        <v>46</v>
      </c>
      <c r="C23" s="248"/>
      <c r="D23" s="248"/>
      <c r="E23" s="249">
        <f>Costs!E23</f>
        <v>0</v>
      </c>
      <c r="F23" s="250"/>
      <c r="G23" s="250"/>
      <c r="H23" s="233">
        <f t="shared" ref="H23:H31" si="8">ROUND(IFERROR(L23/E23,0),2)</f>
        <v>0</v>
      </c>
      <c r="I23" s="494"/>
      <c r="J23" s="233"/>
      <c r="K23" s="233"/>
      <c r="L23" s="235">
        <f>Model!BB40</f>
        <v>0</v>
      </c>
      <c r="M23" s="233"/>
      <c r="N23" s="233">
        <f>Costs!H23</f>
        <v>0</v>
      </c>
      <c r="O23" s="233"/>
      <c r="P23" s="233" t="s">
        <v>273</v>
      </c>
      <c r="Q23" s="233"/>
      <c r="R23" s="233"/>
      <c r="S23" s="396"/>
      <c r="T23" s="496">
        <f t="shared" ref="T23:T28" si="9">L23-N23+R23</f>
        <v>0</v>
      </c>
    </row>
    <row r="24" spans="2:20" x14ac:dyDescent="0.2">
      <c r="B24" s="206" t="s">
        <v>49</v>
      </c>
      <c r="C24" s="248"/>
      <c r="D24" s="248"/>
      <c r="E24" s="249">
        <f>Costs!E24</f>
        <v>5000</v>
      </c>
      <c r="F24" s="250"/>
      <c r="G24" s="250"/>
      <c r="H24" s="251">
        <f t="shared" si="8"/>
        <v>325</v>
      </c>
      <c r="I24" s="494"/>
      <c r="J24" s="233"/>
      <c r="K24" s="251"/>
      <c r="L24" s="235">
        <f>Model!BB41</f>
        <v>1625000</v>
      </c>
      <c r="M24" s="251"/>
      <c r="N24" s="233">
        <f>Costs!H24</f>
        <v>1250000</v>
      </c>
      <c r="O24" s="251"/>
      <c r="P24" s="233" t="s">
        <v>273</v>
      </c>
      <c r="Q24" s="251"/>
      <c r="R24" s="233"/>
      <c r="S24" s="396"/>
      <c r="T24" s="496">
        <f t="shared" si="9"/>
        <v>375000</v>
      </c>
    </row>
    <row r="25" spans="2:20" x14ac:dyDescent="0.2">
      <c r="B25" s="206" t="s">
        <v>51</v>
      </c>
      <c r="C25" s="248"/>
      <c r="D25" s="248"/>
      <c r="E25" s="249">
        <f>Costs!E25</f>
        <v>5000</v>
      </c>
      <c r="F25" s="250"/>
      <c r="G25" s="250"/>
      <c r="H25" s="251">
        <f t="shared" si="8"/>
        <v>312.60000000000002</v>
      </c>
      <c r="I25" s="494"/>
      <c r="J25" s="233"/>
      <c r="K25" s="251"/>
      <c r="L25" s="235">
        <f>Model!BB42</f>
        <v>1563000</v>
      </c>
      <c r="M25" s="251"/>
      <c r="N25" s="233">
        <f>Costs!H25</f>
        <v>1250000</v>
      </c>
      <c r="O25" s="251"/>
      <c r="P25" s="233" t="s">
        <v>273</v>
      </c>
      <c r="Q25" s="251"/>
      <c r="R25" s="233"/>
      <c r="S25" s="396"/>
      <c r="T25" s="496">
        <f t="shared" si="9"/>
        <v>313000</v>
      </c>
    </row>
    <row r="26" spans="2:20" x14ac:dyDescent="0.2">
      <c r="B26" s="206" t="s">
        <v>226</v>
      </c>
      <c r="C26" s="248"/>
      <c r="D26" s="248"/>
      <c r="E26" s="249">
        <f>Costs!E26</f>
        <v>5000</v>
      </c>
      <c r="F26" s="250"/>
      <c r="G26" s="250"/>
      <c r="H26" s="233">
        <f t="shared" si="8"/>
        <v>596.20000000000005</v>
      </c>
      <c r="I26" s="494"/>
      <c r="J26" s="233"/>
      <c r="K26" s="233"/>
      <c r="L26" s="235">
        <f>Model!BB34</f>
        <v>2981000</v>
      </c>
      <c r="M26" s="233"/>
      <c r="N26" s="233">
        <f>Costs!H26</f>
        <v>2364000</v>
      </c>
      <c r="O26" s="233"/>
      <c r="P26" s="233" t="s">
        <v>273</v>
      </c>
      <c r="Q26" s="233"/>
      <c r="R26" s="233"/>
      <c r="S26" s="396"/>
      <c r="T26" s="496">
        <f t="shared" si="9"/>
        <v>617000</v>
      </c>
    </row>
    <row r="27" spans="2:20" x14ac:dyDescent="0.2">
      <c r="B27" s="206" t="s">
        <v>227</v>
      </c>
      <c r="C27" s="248"/>
      <c r="D27" s="248"/>
      <c r="E27" s="249">
        <f>Costs!E27</f>
        <v>5000</v>
      </c>
      <c r="F27" s="250"/>
      <c r="G27" s="250"/>
      <c r="H27" s="233">
        <f t="shared" si="8"/>
        <v>252</v>
      </c>
      <c r="I27" s="494"/>
      <c r="J27" s="233"/>
      <c r="K27" s="233"/>
      <c r="L27" s="235">
        <f>Model!BB27</f>
        <v>1260000</v>
      </c>
      <c r="M27" s="233"/>
      <c r="N27" s="233">
        <f>Costs!H27</f>
        <v>999264.70588235289</v>
      </c>
      <c r="O27" s="233"/>
      <c r="P27" s="233" t="s">
        <v>273</v>
      </c>
      <c r="Q27" s="233"/>
      <c r="R27" s="233"/>
      <c r="S27" s="396"/>
      <c r="T27" s="496">
        <f t="shared" si="9"/>
        <v>260735.29411764711</v>
      </c>
    </row>
    <row r="28" spans="2:20" x14ac:dyDescent="0.2">
      <c r="B28" s="206" t="s">
        <v>228</v>
      </c>
      <c r="C28" s="248"/>
      <c r="D28" s="248"/>
      <c r="E28" s="249">
        <f>Costs!E28</f>
        <v>5000</v>
      </c>
      <c r="F28" s="250"/>
      <c r="G28" s="250"/>
      <c r="H28" s="233">
        <f t="shared" si="8"/>
        <v>469.8</v>
      </c>
      <c r="I28" s="494"/>
      <c r="J28" s="233"/>
      <c r="K28" s="233"/>
      <c r="L28" s="235">
        <f>Model!BB29</f>
        <v>2349000</v>
      </c>
      <c r="M28" s="233"/>
      <c r="N28" s="233">
        <f>Costs!H28</f>
        <v>1844117.6470588236</v>
      </c>
      <c r="O28" s="233"/>
      <c r="P28" s="233" t="s">
        <v>273</v>
      </c>
      <c r="Q28" s="233"/>
      <c r="R28" s="233"/>
      <c r="S28" s="396"/>
      <c r="T28" s="496">
        <f t="shared" si="9"/>
        <v>504882.35294117639</v>
      </c>
    </row>
    <row r="29" spans="2:20" x14ac:dyDescent="0.2">
      <c r="B29" s="206" t="s">
        <v>185</v>
      </c>
      <c r="C29" s="248"/>
      <c r="D29" s="248"/>
      <c r="E29" s="249">
        <f>Costs!E29</f>
        <v>40000</v>
      </c>
      <c r="F29" s="250"/>
      <c r="G29" s="250"/>
      <c r="H29" s="233">
        <f t="shared" si="8"/>
        <v>325</v>
      </c>
      <c r="I29" s="494"/>
      <c r="J29" s="233"/>
      <c r="K29" s="233"/>
      <c r="L29" s="235">
        <f>Model!BB35+Model!BB36</f>
        <v>13000000</v>
      </c>
      <c r="M29" s="233"/>
      <c r="N29" s="233">
        <f>Costs!H29</f>
        <v>10000000</v>
      </c>
      <c r="O29" s="233"/>
      <c r="P29" s="495">
        <f>-Model!BN35-Model!BN36</f>
        <v>0</v>
      </c>
      <c r="Q29" s="233"/>
      <c r="R29" s="233"/>
      <c r="S29" s="396"/>
      <c r="T29" s="496">
        <f t="shared" ref="T29:T31" si="10">L29-N29+P29+R29</f>
        <v>3000000</v>
      </c>
    </row>
    <row r="30" spans="2:20" x14ac:dyDescent="0.2">
      <c r="B30" s="206" t="s">
        <v>186</v>
      </c>
      <c r="C30" s="248"/>
      <c r="D30" s="248"/>
      <c r="E30" s="249">
        <f>Costs!E30</f>
        <v>40000</v>
      </c>
      <c r="F30" s="250"/>
      <c r="G30" s="250"/>
      <c r="H30" s="233">
        <f t="shared" si="8"/>
        <v>390.63</v>
      </c>
      <c r="I30" s="494"/>
      <c r="J30" s="233"/>
      <c r="K30" s="233"/>
      <c r="L30" s="235">
        <f>Model!BB37</f>
        <v>15625000</v>
      </c>
      <c r="M30" s="233"/>
      <c r="N30" s="233">
        <f>Costs!H30</f>
        <v>11500000</v>
      </c>
      <c r="O30" s="233"/>
      <c r="P30" s="495">
        <f>-Model!BN37</f>
        <v>0</v>
      </c>
      <c r="Q30" s="233"/>
      <c r="R30" s="233"/>
      <c r="S30" s="396"/>
      <c r="T30" s="496">
        <f t="shared" si="10"/>
        <v>4125000</v>
      </c>
    </row>
    <row r="31" spans="2:20" x14ac:dyDescent="0.2">
      <c r="B31" s="206" t="s">
        <v>41</v>
      </c>
      <c r="C31" s="248"/>
      <c r="D31" s="248"/>
      <c r="E31" s="249">
        <f>Costs!E31</f>
        <v>0</v>
      </c>
      <c r="F31" s="250"/>
      <c r="G31" s="250"/>
      <c r="H31" s="233">
        <f t="shared" si="8"/>
        <v>0</v>
      </c>
      <c r="I31" s="494"/>
      <c r="J31" s="233"/>
      <c r="K31" s="233"/>
      <c r="L31" s="235">
        <f>Model!BB38</f>
        <v>0</v>
      </c>
      <c r="M31" s="233"/>
      <c r="N31" s="233">
        <f>Costs!H31</f>
        <v>0</v>
      </c>
      <c r="O31" s="233"/>
      <c r="P31" s="495">
        <f>-Model!BN38</f>
        <v>0</v>
      </c>
      <c r="Q31" s="233"/>
      <c r="R31" s="233"/>
      <c r="S31" s="396"/>
      <c r="T31" s="496">
        <f t="shared" si="10"/>
        <v>0</v>
      </c>
    </row>
    <row r="32" spans="2:20" ht="15" customHeight="1" x14ac:dyDescent="0.2">
      <c r="B32" s="252" t="s">
        <v>274</v>
      </c>
      <c r="C32" s="402"/>
      <c r="D32" s="402"/>
      <c r="E32" s="224" t="s">
        <v>224</v>
      </c>
      <c r="F32" s="226"/>
      <c r="G32" s="226"/>
      <c r="H32" s="245" t="s">
        <v>275</v>
      </c>
      <c r="I32" s="498"/>
      <c r="J32" s="245"/>
      <c r="K32" s="245"/>
      <c r="L32" s="247"/>
      <c r="M32" s="245"/>
      <c r="N32" s="245"/>
      <c r="O32" s="245"/>
      <c r="P32" s="245"/>
      <c r="Q32" s="245"/>
      <c r="R32" s="245"/>
      <c r="S32" s="399"/>
      <c r="T32" s="400"/>
    </row>
    <row r="33" spans="2:20" x14ac:dyDescent="0.2">
      <c r="B33" s="206" t="s">
        <v>231</v>
      </c>
      <c r="C33" s="248"/>
      <c r="D33" s="248"/>
      <c r="E33" s="249">
        <f>Costs!E33</f>
        <v>3500</v>
      </c>
      <c r="F33" s="250"/>
      <c r="G33" s="250"/>
      <c r="H33" s="251">
        <f t="shared" ref="H33:H35" si="11">ROUND(IFERROR(L33/E33,0),2)</f>
        <v>175.14</v>
      </c>
      <c r="I33" s="494"/>
      <c r="J33" s="233"/>
      <c r="K33" s="251"/>
      <c r="L33" s="235">
        <f>Model!BC41</f>
        <v>613000</v>
      </c>
      <c r="M33" s="251"/>
      <c r="N33" s="233">
        <f>Costs!H33</f>
        <v>875000</v>
      </c>
      <c r="O33" s="251"/>
      <c r="P33" s="233"/>
      <c r="Q33" s="251"/>
      <c r="R33" s="233">
        <f>Costs!L33</f>
        <v>131000</v>
      </c>
      <c r="S33" s="396"/>
      <c r="T33" s="496">
        <f t="shared" ref="T33:T35" si="12">L33-N33+P33+R33</f>
        <v>-131000</v>
      </c>
    </row>
    <row r="34" spans="2:20" x14ac:dyDescent="0.2">
      <c r="B34" s="206" t="s">
        <v>232</v>
      </c>
      <c r="C34" s="248"/>
      <c r="D34" s="248"/>
      <c r="E34" s="249">
        <f>Costs!E34</f>
        <v>0</v>
      </c>
      <c r="F34" s="250"/>
      <c r="G34" s="250"/>
      <c r="H34" s="251">
        <f t="shared" si="11"/>
        <v>0</v>
      </c>
      <c r="I34" s="494"/>
      <c r="J34" s="233"/>
      <c r="K34" s="251"/>
      <c r="L34" s="235">
        <f>Model!BD41</f>
        <v>0</v>
      </c>
      <c r="M34" s="251"/>
      <c r="N34" s="233">
        <f>Costs!H34</f>
        <v>0</v>
      </c>
      <c r="O34" s="251"/>
      <c r="P34" s="233"/>
      <c r="Q34" s="251"/>
      <c r="R34" s="233"/>
      <c r="S34" s="396"/>
      <c r="T34" s="496">
        <f t="shared" si="12"/>
        <v>0</v>
      </c>
    </row>
    <row r="35" spans="2:20" x14ac:dyDescent="0.2">
      <c r="B35" s="206" t="s">
        <v>233</v>
      </c>
      <c r="C35" s="248"/>
      <c r="D35" s="248"/>
      <c r="E35" s="249">
        <f>Costs!E35</f>
        <v>10000</v>
      </c>
      <c r="F35" s="250"/>
      <c r="G35" s="250"/>
      <c r="H35" s="251">
        <f t="shared" si="11"/>
        <v>0</v>
      </c>
      <c r="I35" s="494"/>
      <c r="J35" s="233"/>
      <c r="K35" s="251"/>
      <c r="L35" s="235">
        <f>Model!BD42</f>
        <v>0</v>
      </c>
      <c r="M35" s="251"/>
      <c r="N35" s="233">
        <f>Costs!H35</f>
        <v>2500000</v>
      </c>
      <c r="O35" s="251"/>
      <c r="P35" s="233"/>
      <c r="Q35" s="251"/>
      <c r="R35" s="233"/>
      <c r="S35" s="396"/>
      <c r="T35" s="496">
        <f t="shared" si="12"/>
        <v>-2500000</v>
      </c>
    </row>
    <row r="36" spans="2:20" x14ac:dyDescent="0.2">
      <c r="B36" s="243" t="s">
        <v>54</v>
      </c>
      <c r="C36" s="244"/>
      <c r="D36" s="244"/>
      <c r="E36" s="224" t="s">
        <v>92</v>
      </c>
      <c r="F36" s="226"/>
      <c r="G36" s="226"/>
      <c r="H36" s="403"/>
      <c r="I36" s="498"/>
      <c r="J36" s="245"/>
      <c r="K36" s="403"/>
      <c r="L36" s="247"/>
      <c r="M36" s="403"/>
      <c r="N36" s="245"/>
      <c r="O36" s="403"/>
      <c r="P36" s="245"/>
      <c r="Q36" s="403"/>
      <c r="R36" s="245"/>
      <c r="S36" s="399"/>
      <c r="T36" s="400"/>
    </row>
    <row r="37" spans="2:20" x14ac:dyDescent="0.2">
      <c r="B37" s="206" t="s">
        <v>55</v>
      </c>
      <c r="C37" s="248"/>
      <c r="D37" s="248"/>
      <c r="E37" s="249">
        <f>Costs!E37</f>
        <v>20000</v>
      </c>
      <c r="F37" s="250"/>
      <c r="G37" s="250"/>
      <c r="H37" s="233"/>
      <c r="I37" s="494"/>
      <c r="J37" s="233"/>
      <c r="K37" s="233"/>
      <c r="L37" s="235">
        <f>Model!BE43</f>
        <v>0</v>
      </c>
      <c r="M37" s="233"/>
      <c r="N37" s="233">
        <f>Costs!H37</f>
        <v>1850000</v>
      </c>
      <c r="O37" s="233"/>
      <c r="P37" s="233"/>
      <c r="Q37" s="233"/>
      <c r="R37" s="233">
        <f>Costs!L37</f>
        <v>925000</v>
      </c>
      <c r="S37" s="396"/>
      <c r="T37" s="496">
        <f t="shared" ref="T37:T39" si="13">L37-N37+P37+R37</f>
        <v>-925000</v>
      </c>
    </row>
    <row r="38" spans="2:20" x14ac:dyDescent="0.2">
      <c r="B38" s="206" t="s">
        <v>276</v>
      </c>
      <c r="C38" s="248"/>
      <c r="D38" s="248"/>
      <c r="E38" s="249">
        <f>Costs!E38</f>
        <v>10000</v>
      </c>
      <c r="F38" s="250"/>
      <c r="G38" s="250"/>
      <c r="H38" s="233"/>
      <c r="I38" s="494"/>
      <c r="J38" s="233"/>
      <c r="K38" s="233"/>
      <c r="L38" s="235">
        <f>Model!BE44</f>
        <v>0</v>
      </c>
      <c r="M38" s="233"/>
      <c r="N38" s="233">
        <f>Costs!H38</f>
        <v>975000</v>
      </c>
      <c r="O38" s="233"/>
      <c r="P38" s="233"/>
      <c r="Q38" s="233"/>
      <c r="R38" s="233">
        <f>Costs!L38</f>
        <v>488000</v>
      </c>
      <c r="S38" s="396"/>
      <c r="T38" s="496">
        <f t="shared" si="13"/>
        <v>-487000</v>
      </c>
    </row>
    <row r="39" spans="2:20" x14ac:dyDescent="0.2">
      <c r="B39" s="206" t="s">
        <v>59</v>
      </c>
      <c r="C39" s="248"/>
      <c r="D39" s="248"/>
      <c r="E39" s="249">
        <f>Costs!E39</f>
        <v>0</v>
      </c>
      <c r="F39" s="250"/>
      <c r="G39" s="250"/>
      <c r="H39" s="233"/>
      <c r="I39" s="494"/>
      <c r="J39" s="233"/>
      <c r="K39" s="233"/>
      <c r="L39" s="235">
        <f>Model!BE45</f>
        <v>0</v>
      </c>
      <c r="M39" s="233"/>
      <c r="N39" s="233">
        <f>Costs!H39</f>
        <v>0</v>
      </c>
      <c r="O39" s="233"/>
      <c r="P39" s="233"/>
      <c r="Q39" s="233"/>
      <c r="R39" s="233">
        <f>Costs!L39</f>
        <v>0</v>
      </c>
      <c r="S39" s="396"/>
      <c r="T39" s="496">
        <f t="shared" si="13"/>
        <v>0</v>
      </c>
    </row>
    <row r="40" spans="2:20" x14ac:dyDescent="0.2">
      <c r="B40" s="454" t="s">
        <v>277</v>
      </c>
      <c r="C40" s="296"/>
      <c r="D40" s="296"/>
      <c r="E40" s="509"/>
      <c r="F40" s="510"/>
      <c r="G40" s="510"/>
      <c r="H40" s="510"/>
      <c r="I40" s="511"/>
      <c r="J40" s="512"/>
      <c r="K40" s="512"/>
      <c r="L40" s="513">
        <f>SUM(L6:L39)</f>
        <v>308611000</v>
      </c>
      <c r="M40" s="514">
        <f t="shared" ref="M40:T40" si="14">SUM(M6:M39)</f>
        <v>0</v>
      </c>
      <c r="N40" s="514">
        <f t="shared" si="14"/>
        <v>249864999.99999997</v>
      </c>
      <c r="O40" s="514">
        <f t="shared" si="14"/>
        <v>0</v>
      </c>
      <c r="P40" s="515">
        <f t="shared" si="14"/>
        <v>0</v>
      </c>
      <c r="Q40" s="514">
        <f t="shared" si="14"/>
        <v>0</v>
      </c>
      <c r="R40" s="514">
        <f t="shared" si="14"/>
        <v>3162000</v>
      </c>
      <c r="S40" s="514">
        <f t="shared" si="14"/>
        <v>0</v>
      </c>
      <c r="T40" s="516">
        <f t="shared" si="14"/>
        <v>61908000</v>
      </c>
    </row>
    <row r="41" spans="2:20" x14ac:dyDescent="0.2"/>
    <row r="42" spans="2:20" x14ac:dyDescent="0.2">
      <c r="N42" s="60" t="s">
        <v>135</v>
      </c>
      <c r="O42" s="56"/>
      <c r="P42" s="56"/>
      <c r="Q42" s="56"/>
      <c r="R42" s="56"/>
      <c r="S42" s="56"/>
      <c r="T42" s="57"/>
    </row>
    <row r="43" spans="2:20" x14ac:dyDescent="0.2">
      <c r="N43" s="76" t="s">
        <v>137</v>
      </c>
      <c r="T43" s="350">
        <f>L40</f>
        <v>308611000</v>
      </c>
    </row>
    <row r="44" spans="2:20" x14ac:dyDescent="0.2">
      <c r="N44" s="621" t="s">
        <v>139</v>
      </c>
      <c r="T44" s="351"/>
    </row>
    <row r="45" spans="2:20" x14ac:dyDescent="0.2">
      <c r="N45" s="291" t="s">
        <v>140</v>
      </c>
      <c r="T45" s="623">
        <f>-N40</f>
        <v>-249864999.99999997</v>
      </c>
    </row>
    <row r="46" spans="2:20" x14ac:dyDescent="0.2">
      <c r="N46" s="291" t="s">
        <v>144</v>
      </c>
      <c r="T46" s="351">
        <f>-Model!H5</f>
        <v>-20000000</v>
      </c>
    </row>
    <row r="47" spans="2:20" x14ac:dyDescent="0.2">
      <c r="N47" s="291" t="s">
        <v>146</v>
      </c>
      <c r="T47" s="351">
        <f>P40</f>
        <v>0</v>
      </c>
    </row>
    <row r="48" spans="2:20" x14ac:dyDescent="0.2">
      <c r="N48" s="291" t="s">
        <v>147</v>
      </c>
      <c r="T48" s="351">
        <f>Costs!L40</f>
        <v>3162000</v>
      </c>
    </row>
    <row r="49" spans="14:20" x14ac:dyDescent="0.2">
      <c r="N49" s="291" t="s">
        <v>148</v>
      </c>
      <c r="T49" s="351">
        <f>-'Use Allocation'!J7</f>
        <v>-1499190</v>
      </c>
    </row>
    <row r="50" spans="14:20" x14ac:dyDescent="0.2">
      <c r="N50" s="291" t="s">
        <v>150</v>
      </c>
      <c r="S50" s="190"/>
      <c r="T50" s="622">
        <f>Model!L4</f>
        <v>0</v>
      </c>
    </row>
    <row r="51" spans="14:20" x14ac:dyDescent="0.2">
      <c r="N51" s="621" t="s">
        <v>152</v>
      </c>
      <c r="T51" s="623">
        <f>SUM(T45:T50)</f>
        <v>-268202190</v>
      </c>
    </row>
    <row r="52" spans="14:20" x14ac:dyDescent="0.2">
      <c r="N52" s="62" t="s">
        <v>153</v>
      </c>
      <c r="O52" s="7"/>
      <c r="P52" s="7"/>
      <c r="Q52" s="7"/>
      <c r="R52" s="7"/>
      <c r="S52" s="7"/>
      <c r="T52" s="349">
        <f>T43+T51</f>
        <v>40408810</v>
      </c>
    </row>
    <row r="53" spans="14:20" x14ac:dyDescent="0.2">
      <c r="N53" s="63" t="s">
        <v>156</v>
      </c>
      <c r="O53" s="1"/>
      <c r="P53" s="1"/>
      <c r="Q53" s="1"/>
      <c r="R53" s="1"/>
      <c r="S53" s="1"/>
      <c r="T53" s="67">
        <f>T52/-T51</f>
        <v>0.15066547368610225</v>
      </c>
    </row>
    <row r="54" spans="14:20" x14ac:dyDescent="0.2"/>
    <row r="55" spans="14:20" x14ac:dyDescent="0.2"/>
    <row r="56" spans="14:20" x14ac:dyDescent="0.2"/>
    <row r="57" spans="14:20" x14ac:dyDescent="0.2"/>
    <row r="58" spans="14:20" x14ac:dyDescent="0.2"/>
    <row r="59" spans="14:20" x14ac:dyDescent="0.2"/>
    <row r="60" spans="14:20" x14ac:dyDescent="0.2"/>
    <row r="61" spans="14:20" x14ac:dyDescent="0.2"/>
    <row r="62" spans="14:20" x14ac:dyDescent="0.2"/>
    <row r="63" spans="14:20" x14ac:dyDescent="0.2"/>
    <row r="64" spans="14:20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</sheetData>
  <sheetProtection algorithmName="SHA-512" hashValue="0sst2DpE89t8QlulxmyCHZmapH+DqmLPX5xWcKDiE4EyTH18DPistKMjxXdauq/UeKF9P+7dlQbNPRS98I2UTQ==" saltValue="Cr415s4kDvhgcC6urZVkiQ==" spinCount="100000" sheet="1" objects="1" scenarios="1"/>
  <pageMargins left="0.25" right="0.25" top="0.75" bottom="0.75" header="0.3" footer="0.3"/>
  <pageSetup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7BE1-1F0B-424F-B4BA-2AEB6732AB37}">
  <sheetPr codeName="Sheet9">
    <tabColor rgb="FF0070C0"/>
    <pageSetUpPr fitToPage="1"/>
  </sheetPr>
  <dimension ref="A1:P68"/>
  <sheetViews>
    <sheetView showGridLines="0" tabSelected="1" topLeftCell="A9" workbookViewId="0">
      <selection activeCell="H49" sqref="H49"/>
    </sheetView>
  </sheetViews>
  <sheetFormatPr baseColWidth="10" defaultColWidth="0" defaultRowHeight="15" zeroHeight="1" x14ac:dyDescent="0.2"/>
  <cols>
    <col min="1" max="1" width="1.5" customWidth="1"/>
    <col min="2" max="2" width="36.1640625" customWidth="1"/>
    <col min="3" max="4" width="10.83203125" customWidth="1"/>
    <col min="5" max="5" width="10.83203125" bestFit="1" customWidth="1"/>
    <col min="6" max="6" width="10.5" customWidth="1"/>
    <col min="7" max="7" width="12.83203125" customWidth="1"/>
    <col min="8" max="8" width="10.5" customWidth="1"/>
    <col min="9" max="9" width="11" bestFit="1" customWidth="1"/>
    <col min="10" max="10" width="10.83203125" customWidth="1"/>
    <col min="11" max="11" width="17.5" bestFit="1" customWidth="1"/>
    <col min="12" max="12" width="13.83203125" customWidth="1"/>
    <col min="13" max="13" width="10.83203125" bestFit="1" customWidth="1"/>
    <col min="14" max="14" width="16.83203125" bestFit="1" customWidth="1"/>
    <col min="15" max="15" width="1.5" customWidth="1"/>
    <col min="16" max="16" width="10.5" customWidth="1"/>
    <col min="17" max="16384" width="10.5" hidden="1"/>
  </cols>
  <sheetData>
    <row r="1" spans="1:16" x14ac:dyDescent="0.2">
      <c r="A1" s="1" t="s">
        <v>278</v>
      </c>
      <c r="B1" s="7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B2" s="208"/>
      <c r="C2" s="208"/>
      <c r="D2" s="208"/>
      <c r="E2" s="209"/>
      <c r="F2" s="209"/>
      <c r="G2" s="209"/>
      <c r="H2" s="209"/>
      <c r="I2" s="209"/>
      <c r="J2" s="210"/>
      <c r="K2" s="210"/>
      <c r="L2" s="210"/>
      <c r="M2" s="210"/>
      <c r="N2" s="210"/>
    </row>
    <row r="3" spans="1:16" x14ac:dyDescent="0.2">
      <c r="B3" s="211"/>
      <c r="C3" s="212"/>
      <c r="D3" s="212"/>
      <c r="E3" s="213"/>
      <c r="F3" s="213"/>
      <c r="G3" s="213"/>
      <c r="H3" s="213"/>
      <c r="I3" s="213"/>
      <c r="J3" s="214"/>
      <c r="K3" s="286"/>
      <c r="L3" s="214"/>
      <c r="M3" s="214"/>
      <c r="N3" s="215"/>
    </row>
    <row r="4" spans="1:16" ht="48" customHeight="1" x14ac:dyDescent="0.2">
      <c r="B4" s="216"/>
      <c r="C4" s="217"/>
      <c r="D4" s="218"/>
      <c r="E4" s="218"/>
      <c r="F4" s="218" t="s">
        <v>259</v>
      </c>
      <c r="G4" s="218" t="s">
        <v>262</v>
      </c>
      <c r="H4" s="218" t="s">
        <v>279</v>
      </c>
      <c r="I4" s="218" t="s">
        <v>263</v>
      </c>
      <c r="J4" s="219" t="s">
        <v>280</v>
      </c>
      <c r="K4" s="287" t="s">
        <v>281</v>
      </c>
      <c r="L4" s="220" t="s">
        <v>282</v>
      </c>
      <c r="M4" s="220" t="s">
        <v>283</v>
      </c>
      <c r="N4" s="221" t="s">
        <v>284</v>
      </c>
    </row>
    <row r="5" spans="1:16" ht="16" x14ac:dyDescent="0.2">
      <c r="B5" s="222" t="s">
        <v>10</v>
      </c>
      <c r="C5" s="581" t="s">
        <v>220</v>
      </c>
      <c r="D5" s="223" t="s">
        <v>221</v>
      </c>
      <c r="E5" s="582" t="s">
        <v>142</v>
      </c>
      <c r="F5" s="225"/>
      <c r="G5" s="226"/>
      <c r="H5" s="225"/>
      <c r="I5" s="226"/>
      <c r="J5" s="225" t="s">
        <v>270</v>
      </c>
      <c r="K5" s="288"/>
      <c r="L5" s="227"/>
      <c r="M5" s="227"/>
      <c r="N5" s="228"/>
      <c r="O5" s="138"/>
      <c r="P5" s="138"/>
    </row>
    <row r="6" spans="1:16" x14ac:dyDescent="0.2">
      <c r="B6" s="499" t="s">
        <v>14</v>
      </c>
      <c r="C6" s="230">
        <f>Costs!C6</f>
        <v>68</v>
      </c>
      <c r="D6" s="231">
        <f>Costs!D6</f>
        <v>4</v>
      </c>
      <c r="E6" s="583">
        <f>Costs!E6</f>
        <v>72</v>
      </c>
      <c r="F6" s="232">
        <f t="shared" ref="F6:F13" si="0">IFERROR(G6/C6,0)</f>
        <v>532867.6470588235</v>
      </c>
      <c r="G6" s="232">
        <f>Model!AZ25</f>
        <v>36235000</v>
      </c>
      <c r="H6" s="232">
        <v>0</v>
      </c>
      <c r="I6" s="232">
        <f>Model!BA25</f>
        <v>587000</v>
      </c>
      <c r="J6" s="233">
        <f>ROUND(IFERROR(K6/E6,0),2)</f>
        <v>511416.67</v>
      </c>
      <c r="K6" s="354">
        <f t="shared" ref="K6:K13" si="1">G6+I6</f>
        <v>36822000</v>
      </c>
      <c r="L6" s="355">
        <f>Model!BV25</f>
        <v>226000</v>
      </c>
      <c r="M6" s="355">
        <f>Model!CA25</f>
        <v>0</v>
      </c>
      <c r="N6" s="356">
        <f t="shared" ref="N6:N13" si="2">SUM(L6:M6)*10</f>
        <v>2260000</v>
      </c>
    </row>
    <row r="7" spans="1:16" x14ac:dyDescent="0.2">
      <c r="B7" s="206" t="s">
        <v>16</v>
      </c>
      <c r="C7" s="237">
        <f>Costs!C7</f>
        <v>96</v>
      </c>
      <c r="D7" s="238">
        <f>Costs!D7</f>
        <v>24</v>
      </c>
      <c r="E7" s="292">
        <f>Costs!E7</f>
        <v>120</v>
      </c>
      <c r="F7" s="232">
        <f t="shared" si="0"/>
        <v>277197.91666666669</v>
      </c>
      <c r="G7" s="232">
        <f>Model!AZ26</f>
        <v>26611000</v>
      </c>
      <c r="H7" s="232">
        <v>0</v>
      </c>
      <c r="I7" s="232">
        <f>Model!BA26</f>
        <v>2016000</v>
      </c>
      <c r="J7" s="233">
        <f t="shared" ref="J7:J13" si="3">ROUND(IFERROR(K7/E7,0),2)</f>
        <v>238558.33</v>
      </c>
      <c r="K7" s="354">
        <f t="shared" si="1"/>
        <v>28627000</v>
      </c>
      <c r="L7" s="355">
        <f>Model!BV26</f>
        <v>166000</v>
      </c>
      <c r="M7" s="355">
        <f>Model!CA26</f>
        <v>0</v>
      </c>
      <c r="N7" s="356">
        <f t="shared" ref="N7:N10" si="4">SUM(L7:M7)*10</f>
        <v>1660000</v>
      </c>
    </row>
    <row r="8" spans="1:16" x14ac:dyDescent="0.2">
      <c r="B8" s="206" t="s">
        <v>181</v>
      </c>
      <c r="C8" s="237">
        <f>Costs!C8</f>
        <v>48</v>
      </c>
      <c r="D8" s="238">
        <f>Costs!D8</f>
        <v>12</v>
      </c>
      <c r="E8" s="292">
        <f>Costs!E8</f>
        <v>60</v>
      </c>
      <c r="F8" s="232">
        <f t="shared" si="0"/>
        <v>341187.5</v>
      </c>
      <c r="G8" s="232">
        <f>Model!AZ27</f>
        <v>16377000</v>
      </c>
      <c r="H8" s="232">
        <v>0</v>
      </c>
      <c r="I8" s="232">
        <f>Model!BA27</f>
        <v>1279000</v>
      </c>
      <c r="J8" s="233">
        <f t="shared" si="3"/>
        <v>294266.67</v>
      </c>
      <c r="K8" s="354">
        <f t="shared" si="1"/>
        <v>17656000</v>
      </c>
      <c r="L8" s="355">
        <f>Model!BV27</f>
        <v>102000</v>
      </c>
      <c r="M8" s="355">
        <f>Model!CA27</f>
        <v>0</v>
      </c>
      <c r="N8" s="356">
        <f t="shared" si="4"/>
        <v>1020000</v>
      </c>
    </row>
    <row r="9" spans="1:16" x14ac:dyDescent="0.2">
      <c r="B9" s="206" t="s">
        <v>223</v>
      </c>
      <c r="C9" s="237">
        <f>Costs!C9</f>
        <v>0</v>
      </c>
      <c r="D9" s="238">
        <f>Costs!D9</f>
        <v>0</v>
      </c>
      <c r="E9" s="292">
        <f>Costs!E9</f>
        <v>0</v>
      </c>
      <c r="F9" s="232">
        <f t="shared" si="0"/>
        <v>0</v>
      </c>
      <c r="G9" s="232">
        <f>Model!AZ28</f>
        <v>0</v>
      </c>
      <c r="H9" s="232">
        <v>0</v>
      </c>
      <c r="I9" s="232">
        <f>Model!BA28</f>
        <v>0</v>
      </c>
      <c r="J9" s="233">
        <f t="shared" si="3"/>
        <v>0</v>
      </c>
      <c r="K9" s="354">
        <f t="shared" si="1"/>
        <v>0</v>
      </c>
      <c r="L9" s="355">
        <f>Model!BV28</f>
        <v>0</v>
      </c>
      <c r="M9" s="355">
        <f>Model!CA28</f>
        <v>0</v>
      </c>
      <c r="N9" s="356">
        <f t="shared" si="4"/>
        <v>0</v>
      </c>
    </row>
    <row r="10" spans="1:16" x14ac:dyDescent="0.2">
      <c r="B10" s="206" t="s">
        <v>183</v>
      </c>
      <c r="C10" s="237">
        <f>Costs!C10</f>
        <v>56</v>
      </c>
      <c r="D10" s="238">
        <f>Costs!D10</f>
        <v>0</v>
      </c>
      <c r="E10" s="292">
        <f>Costs!E10</f>
        <v>56</v>
      </c>
      <c r="F10" s="232">
        <f t="shared" si="0"/>
        <v>726500</v>
      </c>
      <c r="G10" s="232">
        <f>Model!AZ29</f>
        <v>40684000</v>
      </c>
      <c r="H10" s="232">
        <v>0</v>
      </c>
      <c r="I10" s="232">
        <f>Model!BA29</f>
        <v>0</v>
      </c>
      <c r="J10" s="233">
        <f t="shared" si="3"/>
        <v>726500</v>
      </c>
      <c r="K10" s="354">
        <f t="shared" si="1"/>
        <v>40684000</v>
      </c>
      <c r="L10" s="355">
        <f>Model!BV29</f>
        <v>236000</v>
      </c>
      <c r="M10" s="355">
        <f>Model!CA29</f>
        <v>0</v>
      </c>
      <c r="N10" s="356">
        <f t="shared" si="4"/>
        <v>2360000</v>
      </c>
    </row>
    <row r="11" spans="1:16" x14ac:dyDescent="0.2">
      <c r="B11" s="206" t="s">
        <v>46</v>
      </c>
      <c r="C11" s="239">
        <f>Costs!C11</f>
        <v>0</v>
      </c>
      <c r="D11" s="240">
        <f>Costs!D11</f>
        <v>0</v>
      </c>
      <c r="E11" s="292">
        <f>Costs!E11</f>
        <v>0</v>
      </c>
      <c r="F11" s="232">
        <f t="shared" si="0"/>
        <v>0</v>
      </c>
      <c r="G11" s="232">
        <f>Model!AZ40</f>
        <v>0</v>
      </c>
      <c r="H11" s="232">
        <v>0</v>
      </c>
      <c r="I11" s="232">
        <f>Model!BA40</f>
        <v>0</v>
      </c>
      <c r="J11" s="233">
        <f t="shared" si="3"/>
        <v>0</v>
      </c>
      <c r="K11" s="354">
        <f t="shared" si="1"/>
        <v>0</v>
      </c>
      <c r="L11" s="355">
        <f>Model!BV40</f>
        <v>0</v>
      </c>
      <c r="M11" s="355">
        <f>Model!CA40</f>
        <v>0</v>
      </c>
      <c r="N11" s="356">
        <f t="shared" si="2"/>
        <v>0</v>
      </c>
    </row>
    <row r="12" spans="1:16" x14ac:dyDescent="0.2">
      <c r="B12" s="206" t="s">
        <v>49</v>
      </c>
      <c r="C12" s="239">
        <f>Costs!C12</f>
        <v>28</v>
      </c>
      <c r="D12" s="240">
        <f>Costs!D12</f>
        <v>2</v>
      </c>
      <c r="E12" s="292">
        <f>Costs!E12</f>
        <v>30</v>
      </c>
      <c r="F12" s="232">
        <f t="shared" si="0"/>
        <v>403071.42857142858</v>
      </c>
      <c r="G12" s="232">
        <f>Model!AZ41</f>
        <v>11286000</v>
      </c>
      <c r="H12" s="232">
        <v>0</v>
      </c>
      <c r="I12" s="232">
        <f>Model!BA41</f>
        <v>180000</v>
      </c>
      <c r="J12" s="233">
        <f t="shared" si="3"/>
        <v>382200</v>
      </c>
      <c r="K12" s="354">
        <f t="shared" si="1"/>
        <v>11466000</v>
      </c>
      <c r="L12" s="355">
        <f>Model!BV41</f>
        <v>70000</v>
      </c>
      <c r="M12" s="355">
        <f>Model!CA41</f>
        <v>0</v>
      </c>
      <c r="N12" s="356">
        <f t="shared" si="2"/>
        <v>700000</v>
      </c>
    </row>
    <row r="13" spans="1:16" x14ac:dyDescent="0.2">
      <c r="B13" s="428" t="s">
        <v>51</v>
      </c>
      <c r="C13" s="241">
        <f>Costs!C13</f>
        <v>38</v>
      </c>
      <c r="D13" s="242">
        <f>Costs!D13</f>
        <v>2</v>
      </c>
      <c r="E13" s="584">
        <f>Costs!E13</f>
        <v>40</v>
      </c>
      <c r="F13" s="232">
        <f t="shared" si="0"/>
        <v>396868.42105263157</v>
      </c>
      <c r="G13" s="232">
        <f>Model!AZ42</f>
        <v>15081000</v>
      </c>
      <c r="H13" s="232">
        <v>0</v>
      </c>
      <c r="I13" s="232">
        <f>Model!BA42</f>
        <v>250000</v>
      </c>
      <c r="J13" s="233">
        <f t="shared" si="3"/>
        <v>383275</v>
      </c>
      <c r="K13" s="354">
        <f t="shared" si="1"/>
        <v>15331000</v>
      </c>
      <c r="L13" s="355">
        <f>Model!BV42</f>
        <v>94000</v>
      </c>
      <c r="M13" s="355">
        <f>Model!CA42</f>
        <v>0</v>
      </c>
      <c r="N13" s="356">
        <f t="shared" si="2"/>
        <v>940000</v>
      </c>
    </row>
    <row r="14" spans="1:16" x14ac:dyDescent="0.2">
      <c r="B14" s="243" t="s">
        <v>24</v>
      </c>
      <c r="C14" s="244"/>
      <c r="D14" s="244"/>
      <c r="E14" s="224" t="s">
        <v>224</v>
      </c>
      <c r="F14" s="226"/>
      <c r="G14" s="226"/>
      <c r="H14" s="226"/>
      <c r="I14" s="226"/>
      <c r="J14" s="245" t="s">
        <v>271</v>
      </c>
      <c r="K14" s="290"/>
      <c r="L14" s="246"/>
      <c r="M14" s="246"/>
      <c r="N14" s="247"/>
    </row>
    <row r="15" spans="1:16" x14ac:dyDescent="0.2">
      <c r="B15" s="206" t="s">
        <v>46</v>
      </c>
      <c r="C15" s="248"/>
      <c r="D15" s="248"/>
      <c r="E15" s="249">
        <f>Costs!E15</f>
        <v>0</v>
      </c>
      <c r="F15" s="250"/>
      <c r="G15" s="250"/>
      <c r="H15" s="250"/>
      <c r="I15" s="250"/>
      <c r="J15" s="233">
        <f t="shared" ref="J15:J21" si="5">ROUND(IFERROR(K15/E15,0),2)</f>
        <v>0</v>
      </c>
      <c r="K15" s="354">
        <f>Model!AY40</f>
        <v>0</v>
      </c>
      <c r="L15" s="355">
        <f>Model!BU40</f>
        <v>0</v>
      </c>
      <c r="M15" s="234"/>
      <c r="N15" s="356">
        <f t="shared" ref="N15:N18" si="6">SUM(L15:M15)*10</f>
        <v>0</v>
      </c>
    </row>
    <row r="16" spans="1:16" x14ac:dyDescent="0.2">
      <c r="B16" s="206" t="s">
        <v>49</v>
      </c>
      <c r="C16" s="248"/>
      <c r="D16" s="248"/>
      <c r="E16" s="249">
        <f>Costs!E16</f>
        <v>3500</v>
      </c>
      <c r="F16" s="250"/>
      <c r="G16" s="250"/>
      <c r="H16" s="250"/>
      <c r="I16" s="250"/>
      <c r="J16" s="233">
        <f t="shared" si="5"/>
        <v>312.57</v>
      </c>
      <c r="K16" s="354">
        <f>Model!AY41</f>
        <v>1094000</v>
      </c>
      <c r="L16" s="355">
        <f>Model!BU41</f>
        <v>6000</v>
      </c>
      <c r="M16" s="234"/>
      <c r="N16" s="356">
        <f t="shared" si="6"/>
        <v>60000</v>
      </c>
    </row>
    <row r="17" spans="2:14" x14ac:dyDescent="0.2">
      <c r="B17" s="206" t="s">
        <v>51</v>
      </c>
      <c r="C17" s="248"/>
      <c r="D17" s="248"/>
      <c r="E17" s="249">
        <f>Costs!E17</f>
        <v>10000</v>
      </c>
      <c r="F17" s="250"/>
      <c r="G17" s="250"/>
      <c r="H17" s="250"/>
      <c r="I17" s="250"/>
      <c r="J17" s="233">
        <f t="shared" si="5"/>
        <v>300</v>
      </c>
      <c r="K17" s="354">
        <f>Model!AY42</f>
        <v>3000000</v>
      </c>
      <c r="L17" s="355">
        <f>Model!BU42</f>
        <v>16000</v>
      </c>
      <c r="M17" s="234"/>
      <c r="N17" s="356">
        <f t="shared" si="6"/>
        <v>160000</v>
      </c>
    </row>
    <row r="18" spans="2:14" x14ac:dyDescent="0.2">
      <c r="B18" s="206" t="s">
        <v>26</v>
      </c>
      <c r="C18" s="248"/>
      <c r="D18" s="248"/>
      <c r="E18" s="249">
        <f>Costs!E18</f>
        <v>45000</v>
      </c>
      <c r="F18" s="250"/>
      <c r="G18" s="250"/>
      <c r="H18" s="250"/>
      <c r="I18" s="250"/>
      <c r="J18" s="233">
        <f t="shared" si="5"/>
        <v>407.82</v>
      </c>
      <c r="K18" s="354">
        <f>Model!AY31</f>
        <v>18352000</v>
      </c>
      <c r="L18" s="355">
        <f>Model!BU31</f>
        <v>114000</v>
      </c>
      <c r="M18" s="234"/>
      <c r="N18" s="356">
        <f t="shared" si="6"/>
        <v>1140000</v>
      </c>
    </row>
    <row r="19" spans="2:14" x14ac:dyDescent="0.2">
      <c r="B19" s="206" t="s">
        <v>28</v>
      </c>
      <c r="C19" s="248"/>
      <c r="D19" s="248"/>
      <c r="E19" s="249">
        <f>Costs!E19</f>
        <v>60000</v>
      </c>
      <c r="F19" s="250"/>
      <c r="G19" s="250"/>
      <c r="H19" s="250"/>
      <c r="I19" s="250"/>
      <c r="J19" s="233">
        <f t="shared" si="5"/>
        <v>407.82</v>
      </c>
      <c r="K19" s="354">
        <f>Model!AY32</f>
        <v>24469000</v>
      </c>
      <c r="L19" s="355">
        <f>Model!BU32</f>
        <v>152000</v>
      </c>
      <c r="M19" s="234"/>
      <c r="N19" s="356">
        <f t="shared" ref="N19:N21" si="7">SUM(L19:M19)*10</f>
        <v>1520000</v>
      </c>
    </row>
    <row r="20" spans="2:14" x14ac:dyDescent="0.2">
      <c r="B20" s="206" t="s">
        <v>30</v>
      </c>
      <c r="C20" s="248"/>
      <c r="D20" s="248"/>
      <c r="E20" s="249">
        <f>Costs!E20</f>
        <v>0</v>
      </c>
      <c r="F20" s="250"/>
      <c r="G20" s="250"/>
      <c r="H20" s="250"/>
      <c r="I20" s="250"/>
      <c r="J20" s="233">
        <f t="shared" si="5"/>
        <v>0</v>
      </c>
      <c r="K20" s="354">
        <f>Model!AY33</f>
        <v>0</v>
      </c>
      <c r="L20" s="355">
        <f>Model!BU33</f>
        <v>0</v>
      </c>
      <c r="M20" s="234"/>
      <c r="N20" s="356">
        <f t="shared" si="7"/>
        <v>0</v>
      </c>
    </row>
    <row r="21" spans="2:14" x14ac:dyDescent="0.2">
      <c r="B21" s="206" t="s">
        <v>180</v>
      </c>
      <c r="C21" s="248"/>
      <c r="D21" s="248"/>
      <c r="E21" s="249">
        <f>Costs!E21</f>
        <v>120000</v>
      </c>
      <c r="F21" s="250"/>
      <c r="G21" s="250"/>
      <c r="H21" s="250"/>
      <c r="I21" s="250"/>
      <c r="J21" s="233">
        <f t="shared" si="5"/>
        <v>600.78</v>
      </c>
      <c r="K21" s="354">
        <f>Model!AY34</f>
        <v>72094000</v>
      </c>
      <c r="L21" s="355">
        <f>Model!BU34</f>
        <v>449000</v>
      </c>
      <c r="M21" s="234"/>
      <c r="N21" s="356">
        <f t="shared" si="7"/>
        <v>4490000</v>
      </c>
    </row>
    <row r="22" spans="2:14" x14ac:dyDescent="0.2">
      <c r="B22" s="243" t="s">
        <v>34</v>
      </c>
      <c r="C22" s="244"/>
      <c r="D22" s="244"/>
      <c r="E22" s="224" t="s">
        <v>224</v>
      </c>
      <c r="F22" s="226"/>
      <c r="G22" s="226"/>
      <c r="H22" s="226"/>
      <c r="I22" s="226"/>
      <c r="J22" s="245" t="s">
        <v>271</v>
      </c>
      <c r="K22" s="290"/>
      <c r="L22" s="246"/>
      <c r="M22" s="246"/>
      <c r="N22" s="247"/>
    </row>
    <row r="23" spans="2:14" x14ac:dyDescent="0.2">
      <c r="B23" s="206" t="s">
        <v>46</v>
      </c>
      <c r="C23" s="248"/>
      <c r="D23" s="248"/>
      <c r="E23" s="249">
        <f>Costs!E23</f>
        <v>0</v>
      </c>
      <c r="F23" s="250"/>
      <c r="G23" s="250"/>
      <c r="H23" s="250"/>
      <c r="I23" s="250"/>
      <c r="J23" s="233">
        <f t="shared" ref="J23:J31" si="8">ROUND(IFERROR(K23/E23,0),2)</f>
        <v>0</v>
      </c>
      <c r="K23" s="354">
        <f>Model!BB40</f>
        <v>0</v>
      </c>
      <c r="L23" s="355">
        <f>Model!BW40</f>
        <v>0</v>
      </c>
      <c r="M23" s="234"/>
      <c r="N23" s="356">
        <f t="shared" ref="N23:N31" si="9">SUM(L23:M23)*10</f>
        <v>0</v>
      </c>
    </row>
    <row r="24" spans="2:14" x14ac:dyDescent="0.2">
      <c r="B24" s="206" t="s">
        <v>49</v>
      </c>
      <c r="C24" s="248"/>
      <c r="D24" s="248"/>
      <c r="E24" s="249">
        <f>Costs!E24</f>
        <v>5000</v>
      </c>
      <c r="F24" s="250"/>
      <c r="G24" s="250"/>
      <c r="H24" s="250"/>
      <c r="I24" s="250"/>
      <c r="J24" s="233">
        <f t="shared" si="8"/>
        <v>325</v>
      </c>
      <c r="K24" s="354">
        <f>Model!BB41</f>
        <v>1625000</v>
      </c>
      <c r="L24" s="355">
        <f>Model!BW41</f>
        <v>33000</v>
      </c>
      <c r="M24" s="234"/>
      <c r="N24" s="356">
        <f t="shared" si="9"/>
        <v>330000</v>
      </c>
    </row>
    <row r="25" spans="2:14" x14ac:dyDescent="0.2">
      <c r="B25" s="206" t="s">
        <v>51</v>
      </c>
      <c r="C25" s="248"/>
      <c r="D25" s="248"/>
      <c r="E25" s="249">
        <f>Costs!E25</f>
        <v>5000</v>
      </c>
      <c r="F25" s="250"/>
      <c r="G25" s="250"/>
      <c r="H25" s="250"/>
      <c r="I25" s="250"/>
      <c r="J25" s="233">
        <f t="shared" si="8"/>
        <v>312.60000000000002</v>
      </c>
      <c r="K25" s="354">
        <f>Model!BB42</f>
        <v>1563000</v>
      </c>
      <c r="L25" s="355">
        <f>Model!BW42</f>
        <v>31000</v>
      </c>
      <c r="M25" s="234"/>
      <c r="N25" s="356">
        <f t="shared" si="9"/>
        <v>310000</v>
      </c>
    </row>
    <row r="26" spans="2:14" x14ac:dyDescent="0.2">
      <c r="B26" s="206" t="s">
        <v>185</v>
      </c>
      <c r="C26" s="248"/>
      <c r="D26" s="248"/>
      <c r="E26" s="249">
        <f>Costs!E29</f>
        <v>40000</v>
      </c>
      <c r="F26" s="250"/>
      <c r="G26" s="250"/>
      <c r="H26" s="250"/>
      <c r="I26" s="250"/>
      <c r="J26" s="233">
        <f t="shared" si="8"/>
        <v>325</v>
      </c>
      <c r="K26" s="354">
        <f>Model!BB35+Model!BB36</f>
        <v>13000000</v>
      </c>
      <c r="L26" s="355">
        <f>Model!BW35+Model!BW36</f>
        <v>260000</v>
      </c>
      <c r="M26" s="234"/>
      <c r="N26" s="356">
        <f t="shared" si="9"/>
        <v>2600000</v>
      </c>
    </row>
    <row r="27" spans="2:14" x14ac:dyDescent="0.2">
      <c r="B27" s="206" t="s">
        <v>226</v>
      </c>
      <c r="C27" s="248"/>
      <c r="D27" s="248"/>
      <c r="E27" s="249">
        <f>Costs!E26</f>
        <v>5000</v>
      </c>
      <c r="F27" s="250"/>
      <c r="G27" s="250"/>
      <c r="H27" s="250"/>
      <c r="I27" s="250"/>
      <c r="J27" s="233">
        <f t="shared" si="8"/>
        <v>596.20000000000005</v>
      </c>
      <c r="K27" s="354">
        <f>Model!BB34</f>
        <v>2981000</v>
      </c>
      <c r="L27" s="355">
        <f>Model!BW34</f>
        <v>60000</v>
      </c>
      <c r="M27" s="234"/>
      <c r="N27" s="356">
        <f t="shared" si="9"/>
        <v>600000</v>
      </c>
    </row>
    <row r="28" spans="2:14" x14ac:dyDescent="0.2">
      <c r="B28" s="206" t="s">
        <v>227</v>
      </c>
      <c r="C28" s="248"/>
      <c r="D28" s="248"/>
      <c r="E28" s="249">
        <f>Costs!E27</f>
        <v>5000</v>
      </c>
      <c r="F28" s="250"/>
      <c r="G28" s="250"/>
      <c r="H28" s="250"/>
      <c r="I28" s="250"/>
      <c r="J28" s="233">
        <f t="shared" si="8"/>
        <v>252</v>
      </c>
      <c r="K28" s="354">
        <f>Model!BB27</f>
        <v>1260000</v>
      </c>
      <c r="L28" s="355">
        <f>Model!BW27</f>
        <v>25000</v>
      </c>
      <c r="M28" s="234"/>
      <c r="N28" s="356">
        <f t="shared" si="9"/>
        <v>250000</v>
      </c>
    </row>
    <row r="29" spans="2:14" x14ac:dyDescent="0.2">
      <c r="B29" s="206" t="s">
        <v>228</v>
      </c>
      <c r="C29" s="248"/>
      <c r="D29" s="248"/>
      <c r="E29" s="249">
        <f>Costs!E28</f>
        <v>5000</v>
      </c>
      <c r="F29" s="250"/>
      <c r="G29" s="250"/>
      <c r="H29" s="250"/>
      <c r="I29" s="250"/>
      <c r="J29" s="233">
        <f t="shared" si="8"/>
        <v>469.8</v>
      </c>
      <c r="K29" s="354">
        <f>Model!BB29</f>
        <v>2349000</v>
      </c>
      <c r="L29" s="355">
        <f>Model!BW29</f>
        <v>47000</v>
      </c>
      <c r="M29" s="234"/>
      <c r="N29" s="356">
        <f t="shared" si="9"/>
        <v>470000</v>
      </c>
    </row>
    <row r="30" spans="2:14" x14ac:dyDescent="0.2">
      <c r="B30" s="206" t="s">
        <v>186</v>
      </c>
      <c r="C30" s="248"/>
      <c r="D30" s="248"/>
      <c r="E30" s="249">
        <f>Costs!E30</f>
        <v>40000</v>
      </c>
      <c r="F30" s="250"/>
      <c r="G30" s="250"/>
      <c r="H30" s="250"/>
      <c r="I30" s="250"/>
      <c r="J30" s="233">
        <f t="shared" si="8"/>
        <v>390.63</v>
      </c>
      <c r="K30" s="354">
        <f>Model!BB37</f>
        <v>15625000</v>
      </c>
      <c r="L30" s="355">
        <f>Model!BW37</f>
        <v>130000</v>
      </c>
      <c r="M30" s="234"/>
      <c r="N30" s="356">
        <f t="shared" si="9"/>
        <v>1300000</v>
      </c>
    </row>
    <row r="31" spans="2:14" x14ac:dyDescent="0.2">
      <c r="B31" s="206" t="s">
        <v>41</v>
      </c>
      <c r="C31" s="248"/>
      <c r="D31" s="248"/>
      <c r="E31" s="249">
        <f>Costs!E31</f>
        <v>0</v>
      </c>
      <c r="F31" s="250"/>
      <c r="G31" s="250"/>
      <c r="H31" s="250"/>
      <c r="I31" s="250"/>
      <c r="J31" s="233">
        <f t="shared" si="8"/>
        <v>0</v>
      </c>
      <c r="K31" s="354">
        <f>Model!BB38</f>
        <v>0</v>
      </c>
      <c r="L31" s="355">
        <f>Model!BW38</f>
        <v>0</v>
      </c>
      <c r="M31" s="234"/>
      <c r="N31" s="356">
        <f t="shared" si="9"/>
        <v>0</v>
      </c>
    </row>
    <row r="32" spans="2:14" ht="16" x14ac:dyDescent="0.2">
      <c r="B32" s="252" t="s">
        <v>274</v>
      </c>
      <c r="C32" s="253"/>
      <c r="D32" s="254" t="s">
        <v>236</v>
      </c>
      <c r="E32" s="255" t="s">
        <v>224</v>
      </c>
      <c r="F32" s="256"/>
      <c r="G32" s="256"/>
      <c r="H32" s="256"/>
      <c r="I32" s="256"/>
      <c r="J32" s="257" t="s">
        <v>275</v>
      </c>
      <c r="K32" s="290"/>
      <c r="L32" s="246"/>
      <c r="M32" s="246"/>
      <c r="N32" s="247"/>
    </row>
    <row r="33" spans="2:14" x14ac:dyDescent="0.2">
      <c r="B33" s="206" t="s">
        <v>231</v>
      </c>
      <c r="C33" s="248"/>
      <c r="D33" s="258"/>
      <c r="E33" s="259">
        <f>Costs!E33</f>
        <v>3500</v>
      </c>
      <c r="F33" s="259"/>
      <c r="G33" s="259"/>
      <c r="H33" s="259"/>
      <c r="I33" s="259"/>
      <c r="J33" s="283">
        <f>ROUND(IFERROR(K33/E33,0),2)</f>
        <v>175.14</v>
      </c>
      <c r="K33" s="354">
        <f>Model!BC41</f>
        <v>613000</v>
      </c>
      <c r="L33" s="234"/>
      <c r="M33" s="355">
        <f>-Model!BZ41</f>
        <v>-46000</v>
      </c>
      <c r="N33" s="356">
        <f t="shared" ref="N33" si="10">SUM(L33:M33)*10</f>
        <v>-460000</v>
      </c>
    </row>
    <row r="34" spans="2:14" x14ac:dyDescent="0.2">
      <c r="B34" s="206" t="s">
        <v>232</v>
      </c>
      <c r="C34" s="248"/>
      <c r="D34" s="260"/>
      <c r="E34" s="261">
        <f>Costs!E34</f>
        <v>0</v>
      </c>
      <c r="F34" s="261"/>
      <c r="G34" s="261"/>
      <c r="H34" s="261"/>
      <c r="I34" s="261"/>
      <c r="J34" s="284"/>
      <c r="K34" s="289"/>
      <c r="L34" s="234"/>
      <c r="M34" s="234"/>
      <c r="N34" s="235"/>
    </row>
    <row r="35" spans="2:14" x14ac:dyDescent="0.2">
      <c r="B35" s="206" t="s">
        <v>233</v>
      </c>
      <c r="C35" s="248"/>
      <c r="D35" s="262"/>
      <c r="E35" s="261">
        <f>Costs!E35</f>
        <v>10000</v>
      </c>
      <c r="F35" s="261"/>
      <c r="G35" s="261"/>
      <c r="H35" s="261"/>
      <c r="I35" s="261"/>
      <c r="J35" s="284"/>
      <c r="K35" s="289"/>
      <c r="L35" s="234"/>
      <c r="M35" s="234"/>
      <c r="N35" s="235"/>
    </row>
    <row r="36" spans="2:14" x14ac:dyDescent="0.2">
      <c r="B36" s="206" t="s">
        <v>237</v>
      </c>
      <c r="D36" s="263">
        <f>Costs!D43</f>
        <v>0</v>
      </c>
      <c r="E36" s="264">
        <f>Costs!E43</f>
        <v>0</v>
      </c>
      <c r="F36" s="264"/>
      <c r="G36" s="264"/>
      <c r="H36" s="264"/>
      <c r="I36" s="264"/>
      <c r="J36" s="284"/>
      <c r="K36" s="289"/>
      <c r="L36" s="234"/>
      <c r="M36" s="234"/>
      <c r="N36" s="235"/>
    </row>
    <row r="37" spans="2:14" x14ac:dyDescent="0.2">
      <c r="B37" s="206" t="s">
        <v>53</v>
      </c>
      <c r="D37" s="265">
        <f>Costs!D44</f>
        <v>120</v>
      </c>
      <c r="E37" s="266">
        <f>Costs!E44</f>
        <v>60000</v>
      </c>
      <c r="F37" s="266"/>
      <c r="G37" s="266"/>
      <c r="H37" s="266"/>
      <c r="I37" s="266"/>
      <c r="J37" s="285"/>
      <c r="K37" s="289"/>
      <c r="L37" s="234"/>
      <c r="M37" s="234"/>
      <c r="N37" s="235"/>
    </row>
    <row r="38" spans="2:14" x14ac:dyDescent="0.2">
      <c r="B38" s="243" t="s">
        <v>54</v>
      </c>
      <c r="C38" s="244"/>
      <c r="D38" s="244"/>
      <c r="E38" s="267" t="s">
        <v>92</v>
      </c>
      <c r="F38" s="268"/>
      <c r="G38" s="268"/>
      <c r="H38" s="268"/>
      <c r="I38" s="268"/>
      <c r="J38" s="269"/>
      <c r="K38" s="290"/>
      <c r="L38" s="246"/>
      <c r="M38" s="246"/>
      <c r="N38" s="247"/>
    </row>
    <row r="39" spans="2:14" x14ac:dyDescent="0.2">
      <c r="B39" s="206" t="s">
        <v>55</v>
      </c>
      <c r="C39" s="248"/>
      <c r="D39" s="248"/>
      <c r="E39" s="249">
        <f>Costs!E37</f>
        <v>20000</v>
      </c>
      <c r="F39" s="250"/>
      <c r="G39" s="250"/>
      <c r="H39" s="250"/>
      <c r="I39" s="250"/>
      <c r="J39" s="233"/>
      <c r="K39" s="289"/>
      <c r="L39" s="234"/>
      <c r="M39" s="355">
        <f>-Model!BZ43</f>
        <v>-49950</v>
      </c>
      <c r="N39" s="356">
        <f t="shared" ref="N39:N41" si="11">SUM(L39:M39)*10</f>
        <v>-499500</v>
      </c>
    </row>
    <row r="40" spans="2:14" x14ac:dyDescent="0.2">
      <c r="B40" s="206" t="s">
        <v>57</v>
      </c>
      <c r="C40" s="248"/>
      <c r="D40" s="248"/>
      <c r="E40" s="249">
        <f>Costs!E38</f>
        <v>10000</v>
      </c>
      <c r="F40" s="250"/>
      <c r="G40" s="250"/>
      <c r="H40" s="250"/>
      <c r="I40" s="250"/>
      <c r="J40" s="233"/>
      <c r="K40" s="289"/>
      <c r="L40" s="234"/>
      <c r="M40" s="355">
        <f>-Model!BZ44</f>
        <v>-24375</v>
      </c>
      <c r="N40" s="356">
        <f t="shared" si="11"/>
        <v>-243750</v>
      </c>
    </row>
    <row r="41" spans="2:14" x14ac:dyDescent="0.2">
      <c r="B41" s="206" t="s">
        <v>59</v>
      </c>
      <c r="C41" s="248"/>
      <c r="D41" s="248"/>
      <c r="E41" s="249">
        <f>Costs!E39</f>
        <v>0</v>
      </c>
      <c r="F41" s="250"/>
      <c r="G41" s="250"/>
      <c r="H41" s="250"/>
      <c r="I41" s="250"/>
      <c r="J41" s="233"/>
      <c r="K41" s="289"/>
      <c r="L41" s="234"/>
      <c r="M41" s="355">
        <f>-Model!BZ45</f>
        <v>0</v>
      </c>
      <c r="N41" s="356">
        <f t="shared" si="11"/>
        <v>0</v>
      </c>
    </row>
    <row r="42" spans="2:14" x14ac:dyDescent="0.2">
      <c r="B42" s="243" t="s">
        <v>277</v>
      </c>
      <c r="C42" s="244"/>
      <c r="D42" s="244"/>
      <c r="E42" s="270"/>
      <c r="F42" s="271"/>
      <c r="G42" s="271"/>
      <c r="H42" s="271"/>
      <c r="I42" s="271"/>
      <c r="J42" s="272"/>
      <c r="K42" s="359">
        <f>SUM(K6:K41)</f>
        <v>308611000</v>
      </c>
      <c r="L42" s="357">
        <f>SUM(L6:L41)</f>
        <v>2217000</v>
      </c>
      <c r="M42" s="357">
        <f>SUM(M6:M41)</f>
        <v>-120325</v>
      </c>
      <c r="N42" s="358">
        <f>SUM(N6:N41)</f>
        <v>20966750</v>
      </c>
    </row>
    <row r="43" spans="2:14" x14ac:dyDescent="0.2">
      <c r="F43" s="273"/>
      <c r="G43" s="273"/>
      <c r="H43" s="273"/>
      <c r="I43" s="273"/>
      <c r="J43" s="274"/>
    </row>
    <row r="44" spans="2:14" x14ac:dyDescent="0.2">
      <c r="B44" s="275"/>
      <c r="C44" s="275"/>
      <c r="J44" s="278" t="s">
        <v>170</v>
      </c>
      <c r="K44" s="279"/>
      <c r="L44" s="279"/>
      <c r="M44" s="279"/>
      <c r="N44" s="276"/>
    </row>
    <row r="45" spans="2:14" x14ac:dyDescent="0.2">
      <c r="B45" s="275"/>
      <c r="C45" s="275"/>
      <c r="J45" s="113" t="s">
        <v>285</v>
      </c>
      <c r="K45" s="120"/>
      <c r="L45" s="120"/>
      <c r="M45" s="280"/>
      <c r="N45" s="360">
        <f>L42*10</f>
        <v>22170000</v>
      </c>
    </row>
    <row r="46" spans="2:14" x14ac:dyDescent="0.2">
      <c r="B46" s="275"/>
      <c r="C46" s="275"/>
      <c r="J46" s="69" t="s">
        <v>286</v>
      </c>
      <c r="M46" s="190"/>
      <c r="N46" s="361">
        <f>M42*10</f>
        <v>-1203250</v>
      </c>
    </row>
    <row r="47" spans="2:14" x14ac:dyDescent="0.2">
      <c r="B47" s="275"/>
      <c r="C47" s="275"/>
      <c r="J47" s="157" t="s">
        <v>287</v>
      </c>
      <c r="K47" s="137"/>
      <c r="L47" s="137"/>
      <c r="M47" s="137"/>
      <c r="N47" s="362">
        <f>SUM(N45:N46)</f>
        <v>20966750</v>
      </c>
    </row>
    <row r="48" spans="2:14" x14ac:dyDescent="0.2">
      <c r="B48" s="275"/>
      <c r="C48" s="275"/>
      <c r="J48" s="113" t="s">
        <v>288</v>
      </c>
      <c r="K48" s="120"/>
      <c r="L48" s="120"/>
      <c r="M48" s="280"/>
      <c r="N48" s="363">
        <f>Model!H5</f>
        <v>20000000</v>
      </c>
    </row>
    <row r="49" spans="2:14" x14ac:dyDescent="0.2">
      <c r="B49" s="275"/>
      <c r="C49" s="275"/>
      <c r="J49" s="69" t="s">
        <v>289</v>
      </c>
      <c r="M49" s="190"/>
      <c r="N49" s="364">
        <f>-Model!H4</f>
        <v>-25000000</v>
      </c>
    </row>
    <row r="50" spans="2:14" x14ac:dyDescent="0.2">
      <c r="B50" s="275"/>
      <c r="C50" s="275"/>
      <c r="J50" s="70" t="s">
        <v>268</v>
      </c>
      <c r="K50" s="71"/>
      <c r="L50" s="71"/>
      <c r="M50" s="343"/>
      <c r="N50" s="365">
        <f>-Costs!L40</f>
        <v>-3162000</v>
      </c>
    </row>
    <row r="51" spans="2:14" x14ac:dyDescent="0.2">
      <c r="B51" s="275"/>
      <c r="C51" s="275"/>
      <c r="D51" s="275"/>
      <c r="E51" s="275"/>
      <c r="F51" s="275"/>
      <c r="G51" s="275"/>
      <c r="H51" s="275"/>
      <c r="I51" s="275"/>
      <c r="J51" s="58" t="s">
        <v>170</v>
      </c>
      <c r="K51" s="32"/>
      <c r="L51" s="32"/>
      <c r="M51" s="32"/>
      <c r="N51" s="366">
        <f>SUM(N47:N50)</f>
        <v>12804750</v>
      </c>
    </row>
    <row r="52" spans="2:14" x14ac:dyDescent="0.2">
      <c r="B52" s="275"/>
      <c r="C52" s="275"/>
      <c r="D52" s="275"/>
      <c r="E52" s="275"/>
      <c r="F52" s="275"/>
      <c r="G52" s="275"/>
      <c r="H52" s="275"/>
      <c r="I52" s="275"/>
    </row>
    <row r="53" spans="2:14" x14ac:dyDescent="0.2">
      <c r="B53" s="275"/>
      <c r="C53" s="275"/>
      <c r="D53" s="275"/>
      <c r="E53" s="275"/>
      <c r="F53" s="275"/>
      <c r="G53" s="275"/>
      <c r="H53" s="275"/>
      <c r="I53" s="275"/>
      <c r="J53" s="281" t="s">
        <v>290</v>
      </c>
      <c r="K53" s="137"/>
      <c r="L53" s="277"/>
      <c r="M53" s="277"/>
      <c r="N53" s="367">
        <f>-Model!L4</f>
        <v>0</v>
      </c>
    </row>
    <row r="54" spans="2:14" hidden="1" x14ac:dyDescent="0.2"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</row>
    <row r="55" spans="2:14" hidden="1" x14ac:dyDescent="0.2">
      <c r="B55" s="275"/>
      <c r="C55" s="275"/>
      <c r="D55" s="275"/>
      <c r="E55" s="275"/>
      <c r="F55" s="275"/>
      <c r="G55" s="275"/>
      <c r="H55" s="275"/>
      <c r="I55" s="275"/>
      <c r="J55" s="275"/>
      <c r="K55" s="275"/>
      <c r="L55" s="275"/>
      <c r="M55" s="275"/>
      <c r="N55" s="275"/>
    </row>
    <row r="56" spans="2:14" hidden="1" x14ac:dyDescent="0.2"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</row>
    <row r="57" spans="2:14" hidden="1" x14ac:dyDescent="0.2">
      <c r="B57" s="275"/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</row>
    <row r="58" spans="2:14" hidden="1" x14ac:dyDescent="0.2"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</row>
    <row r="59" spans="2:14" hidden="1" x14ac:dyDescent="0.2"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</row>
    <row r="60" spans="2:14" hidden="1" x14ac:dyDescent="0.2"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</row>
    <row r="61" spans="2:14" hidden="1" x14ac:dyDescent="0.2"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</row>
    <row r="62" spans="2:14" hidden="1" x14ac:dyDescent="0.2"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</row>
    <row r="63" spans="2:14" hidden="1" x14ac:dyDescent="0.2"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</row>
    <row r="64" spans="2:14" hidden="1" x14ac:dyDescent="0.2"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</row>
    <row r="65" spans="2:9" hidden="1" x14ac:dyDescent="0.2">
      <c r="B65" s="275"/>
      <c r="C65" s="275"/>
      <c r="D65" s="275"/>
      <c r="E65" s="275"/>
      <c r="F65" s="275"/>
      <c r="G65" s="275"/>
      <c r="H65" s="275"/>
      <c r="I65" s="275"/>
    </row>
    <row r="66" spans="2:9" hidden="1" x14ac:dyDescent="0.2">
      <c r="B66" s="275"/>
      <c r="C66" s="275"/>
      <c r="D66" s="275"/>
      <c r="E66" s="275"/>
      <c r="F66" s="275"/>
      <c r="G66" s="275"/>
      <c r="H66" s="275"/>
      <c r="I66" s="275"/>
    </row>
    <row r="67" spans="2:9" hidden="1" x14ac:dyDescent="0.2">
      <c r="B67" s="275"/>
      <c r="C67" s="275"/>
      <c r="D67" s="275"/>
      <c r="E67" s="275"/>
      <c r="F67" s="275"/>
      <c r="G67" s="275"/>
      <c r="H67" s="275"/>
      <c r="I67" s="275"/>
    </row>
    <row r="68" spans="2:9" hidden="1" x14ac:dyDescent="0.2">
      <c r="B68" s="275"/>
      <c r="C68" s="275"/>
      <c r="D68" s="275"/>
      <c r="E68" s="275"/>
      <c r="F68" s="275"/>
      <c r="G68" s="275"/>
      <c r="H68" s="275"/>
      <c r="I68" s="275"/>
    </row>
  </sheetData>
  <sheetProtection algorithmName="SHA-512" hashValue="5B1NAduRfqDpT0BhYli415PnI/mwWz8FmP6Q40upDSWypx1qTkAXzCpD3+Ms95Cgq+hf6FJyfRPii6wYt9SIrg==" saltValue="uJ4ofDw3Vm9w5KLS7zx/2A==" spinCount="100000" sheet="1" objects="1" scenarios="1"/>
  <pageMargins left="0.25" right="0.25" top="0.75" bottom="0.75" header="0.3" footer="0.3"/>
  <pageSetup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4E5B-9212-4470-ACD7-364E813876FA}">
  <sheetPr codeName="Sheet10">
    <tabColor rgb="FF0070C0"/>
    <pageSetUpPr fitToPage="1"/>
  </sheetPr>
  <dimension ref="A1:O69"/>
  <sheetViews>
    <sheetView showGridLines="0" workbookViewId="0">
      <selection activeCell="K36" sqref="K36"/>
    </sheetView>
  </sheetViews>
  <sheetFormatPr baseColWidth="10" defaultColWidth="12.5" defaultRowHeight="15" zeroHeight="1" outlineLevelRow="1" outlineLevelCol="1" x14ac:dyDescent="0.2"/>
  <cols>
    <col min="1" max="1" width="1.5" customWidth="1"/>
    <col min="2" max="2" width="40.5" customWidth="1"/>
    <col min="3" max="3" width="16.5" customWidth="1"/>
    <col min="4" max="8" width="12.5" style="544" customWidth="1"/>
    <col min="9" max="9" width="1.5" customWidth="1"/>
    <col min="10" max="14" width="12.5" style="544" hidden="1" customWidth="1" outlineLevel="1"/>
    <col min="15" max="15" width="12.5" customWidth="1" collapsed="1"/>
  </cols>
  <sheetData>
    <row r="1" spans="1:14" s="1" customFormat="1" x14ac:dyDescent="0.2">
      <c r="A1" s="1" t="s">
        <v>291</v>
      </c>
      <c r="D1" s="543"/>
      <c r="E1" s="543"/>
      <c r="F1" s="543"/>
      <c r="G1" s="543"/>
      <c r="H1" s="543"/>
      <c r="J1" s="543"/>
      <c r="K1" s="543"/>
      <c r="L1" s="543"/>
      <c r="M1" s="543"/>
      <c r="N1" s="543"/>
    </row>
    <row r="2" spans="1:14" x14ac:dyDescent="0.2"/>
    <row r="3" spans="1:14" x14ac:dyDescent="0.2">
      <c r="B3" s="211"/>
      <c r="C3" s="562"/>
      <c r="D3" s="517" t="s">
        <v>292</v>
      </c>
      <c r="E3" s="560"/>
      <c r="F3" s="560"/>
      <c r="G3" s="560"/>
      <c r="H3" s="561"/>
      <c r="K3" s="571" t="s">
        <v>293</v>
      </c>
      <c r="L3" s="566"/>
      <c r="M3" s="566"/>
      <c r="N3" s="567"/>
    </row>
    <row r="4" spans="1:14" s="138" customFormat="1" ht="42.5" customHeight="1" x14ac:dyDescent="0.2">
      <c r="B4" s="563"/>
      <c r="C4" s="556" t="s">
        <v>294</v>
      </c>
      <c r="D4" s="557" t="s">
        <v>190</v>
      </c>
      <c r="E4" s="558" t="s">
        <v>194</v>
      </c>
      <c r="F4" s="558" t="s">
        <v>195</v>
      </c>
      <c r="G4" s="559" t="s">
        <v>196</v>
      </c>
      <c r="H4" s="559" t="s">
        <v>197</v>
      </c>
      <c r="J4" s="572" t="s">
        <v>295</v>
      </c>
      <c r="K4" s="573" t="s">
        <v>296</v>
      </c>
      <c r="L4" s="573" t="s">
        <v>297</v>
      </c>
      <c r="M4" s="573" t="s">
        <v>298</v>
      </c>
      <c r="N4" s="573" t="s">
        <v>299</v>
      </c>
    </row>
    <row r="5" spans="1:14" x14ac:dyDescent="0.2">
      <c r="D5"/>
      <c r="E5"/>
      <c r="F5"/>
      <c r="G5"/>
      <c r="H5"/>
      <c r="J5"/>
      <c r="K5"/>
      <c r="L5"/>
      <c r="M5"/>
      <c r="N5"/>
    </row>
    <row r="6" spans="1:14" x14ac:dyDescent="0.2">
      <c r="B6" s="569" t="s">
        <v>24</v>
      </c>
      <c r="C6" s="569"/>
      <c r="D6" s="569"/>
      <c r="E6" s="569"/>
      <c r="F6" s="569"/>
      <c r="G6" s="569"/>
      <c r="H6" s="569"/>
      <c r="J6" s="568"/>
      <c r="K6" s="517"/>
      <c r="L6" s="574"/>
      <c r="M6" s="574"/>
      <c r="N6" s="575"/>
    </row>
    <row r="7" spans="1:14" x14ac:dyDescent="0.2">
      <c r="B7" s="151" t="s">
        <v>46</v>
      </c>
      <c r="C7" s="564">
        <f>Model!AE40</f>
        <v>0</v>
      </c>
      <c r="D7" s="301">
        <f t="shared" ref="D7:G11" si="0">ROUND(IFERROR($C7/K7,0),0)</f>
        <v>0</v>
      </c>
      <c r="E7" s="462">
        <f t="shared" si="0"/>
        <v>0</v>
      </c>
      <c r="F7" s="462">
        <f t="shared" si="0"/>
        <v>0</v>
      </c>
      <c r="G7" s="462">
        <f t="shared" si="0"/>
        <v>0</v>
      </c>
      <c r="H7" s="555">
        <f>SUM(D7:G7)</f>
        <v>0</v>
      </c>
      <c r="J7" s="555"/>
      <c r="K7" s="301">
        <v>4500</v>
      </c>
      <c r="L7" s="462">
        <v>1500</v>
      </c>
      <c r="M7" s="462">
        <v>600</v>
      </c>
      <c r="N7" s="518">
        <v>3000</v>
      </c>
    </row>
    <row r="8" spans="1:14" x14ac:dyDescent="0.2">
      <c r="B8" s="151" t="s">
        <v>49</v>
      </c>
      <c r="C8" s="564">
        <f>Model!AE41</f>
        <v>3500</v>
      </c>
      <c r="D8" s="301">
        <f t="shared" si="0"/>
        <v>1</v>
      </c>
      <c r="E8" s="462">
        <f t="shared" si="0"/>
        <v>2</v>
      </c>
      <c r="F8" s="462">
        <f t="shared" si="0"/>
        <v>6</v>
      </c>
      <c r="G8" s="462">
        <f t="shared" si="0"/>
        <v>1</v>
      </c>
      <c r="H8" s="555">
        <f t="shared" ref="H8:H42" si="1">SUM(D8:G8)</f>
        <v>10</v>
      </c>
      <c r="J8" s="555"/>
      <c r="K8" s="301">
        <v>4500</v>
      </c>
      <c r="L8" s="462">
        <v>1500</v>
      </c>
      <c r="M8" s="462">
        <v>600</v>
      </c>
      <c r="N8" s="518">
        <v>3000</v>
      </c>
    </row>
    <row r="9" spans="1:14" x14ac:dyDescent="0.2">
      <c r="B9" s="151" t="s">
        <v>51</v>
      </c>
      <c r="C9" s="564">
        <f>Model!AE42</f>
        <v>10000</v>
      </c>
      <c r="D9" s="301">
        <f t="shared" si="0"/>
        <v>2</v>
      </c>
      <c r="E9" s="462">
        <f t="shared" si="0"/>
        <v>7</v>
      </c>
      <c r="F9" s="462">
        <f t="shared" si="0"/>
        <v>17</v>
      </c>
      <c r="G9" s="462">
        <f t="shared" si="0"/>
        <v>3</v>
      </c>
      <c r="H9" s="555">
        <f t="shared" si="1"/>
        <v>29</v>
      </c>
      <c r="J9" s="555"/>
      <c r="K9" s="301">
        <v>4500</v>
      </c>
      <c r="L9" s="462">
        <v>1500</v>
      </c>
      <c r="M9" s="462">
        <v>600</v>
      </c>
      <c r="N9" s="518">
        <v>3000</v>
      </c>
    </row>
    <row r="10" spans="1:14" x14ac:dyDescent="0.2">
      <c r="B10" s="151" t="s">
        <v>242</v>
      </c>
      <c r="C10" s="564">
        <f>Model!AE31+Model!AE32</f>
        <v>105000</v>
      </c>
      <c r="D10" s="301">
        <f t="shared" si="0"/>
        <v>23</v>
      </c>
      <c r="E10" s="462">
        <f t="shared" si="0"/>
        <v>70</v>
      </c>
      <c r="F10" s="462">
        <f t="shared" si="0"/>
        <v>175</v>
      </c>
      <c r="G10" s="462">
        <f t="shared" si="0"/>
        <v>35</v>
      </c>
      <c r="H10" s="555">
        <f t="shared" si="1"/>
        <v>303</v>
      </c>
      <c r="J10" s="555"/>
      <c r="K10" s="301">
        <v>4500</v>
      </c>
      <c r="L10" s="462">
        <v>1500</v>
      </c>
      <c r="M10" s="462">
        <v>600</v>
      </c>
      <c r="N10" s="518">
        <v>3000</v>
      </c>
    </row>
    <row r="11" spans="1:14" x14ac:dyDescent="0.2">
      <c r="B11" s="152" t="s">
        <v>243</v>
      </c>
      <c r="C11" s="565">
        <f>Model!AE33+Model!AE34</f>
        <v>120000</v>
      </c>
      <c r="D11" s="301">
        <f t="shared" si="0"/>
        <v>27</v>
      </c>
      <c r="E11" s="462">
        <f t="shared" si="0"/>
        <v>80</v>
      </c>
      <c r="F11" s="462">
        <f t="shared" si="0"/>
        <v>200</v>
      </c>
      <c r="G11" s="462">
        <f t="shared" si="0"/>
        <v>40</v>
      </c>
      <c r="H11" s="555">
        <f t="shared" si="1"/>
        <v>347</v>
      </c>
      <c r="J11" s="555"/>
      <c r="K11" s="301">
        <v>4500</v>
      </c>
      <c r="L11" s="462">
        <v>1500</v>
      </c>
      <c r="M11" s="462">
        <v>600</v>
      </c>
      <c r="N11" s="518">
        <v>3000</v>
      </c>
    </row>
    <row r="12" spans="1:14" s="6" customFormat="1" x14ac:dyDescent="0.2">
      <c r="B12" s="629" t="s">
        <v>300</v>
      </c>
      <c r="C12" s="630">
        <f>SUM(C7:C11)</f>
        <v>238500</v>
      </c>
      <c r="D12" s="509">
        <f>SUM(D7:D11)</f>
        <v>53</v>
      </c>
      <c r="E12" s="631">
        <f t="shared" ref="E12:H12" si="2">SUM(E7:E11)</f>
        <v>159</v>
      </c>
      <c r="F12" s="631">
        <f t="shared" si="2"/>
        <v>398</v>
      </c>
      <c r="G12" s="631">
        <f t="shared" si="2"/>
        <v>79</v>
      </c>
      <c r="H12" s="632">
        <f t="shared" si="2"/>
        <v>689</v>
      </c>
      <c r="J12" s="632"/>
      <c r="K12" s="509"/>
      <c r="L12" s="631"/>
      <c r="M12" s="631"/>
      <c r="N12" s="633"/>
    </row>
    <row r="13" spans="1:14" x14ac:dyDescent="0.2">
      <c r="D13"/>
      <c r="E13"/>
      <c r="F13"/>
      <c r="G13"/>
      <c r="H13"/>
      <c r="J13"/>
      <c r="K13"/>
      <c r="L13"/>
      <c r="M13"/>
      <c r="N13"/>
    </row>
    <row r="14" spans="1:14" x14ac:dyDescent="0.2">
      <c r="B14" s="569" t="s">
        <v>34</v>
      </c>
      <c r="C14" s="569"/>
      <c r="D14" s="569"/>
      <c r="E14" s="569"/>
      <c r="F14" s="569"/>
      <c r="G14" s="569"/>
      <c r="H14" s="569"/>
      <c r="J14" s="568"/>
      <c r="K14" s="517"/>
      <c r="L14" s="574"/>
      <c r="M14" s="574"/>
      <c r="N14" s="575"/>
    </row>
    <row r="15" spans="1:14" x14ac:dyDescent="0.2">
      <c r="B15" s="150" t="s">
        <v>46</v>
      </c>
      <c r="C15" s="570">
        <f>Model!AH40</f>
        <v>0</v>
      </c>
      <c r="D15" s="301">
        <f t="shared" ref="D15:G20" si="3">$J15*K15</f>
        <v>0</v>
      </c>
      <c r="E15" s="462">
        <f t="shared" si="3"/>
        <v>0</v>
      </c>
      <c r="F15" s="462">
        <f t="shared" si="3"/>
        <v>0</v>
      </c>
      <c r="G15" s="462">
        <f t="shared" si="3"/>
        <v>0</v>
      </c>
      <c r="H15" s="555">
        <f t="shared" si="1"/>
        <v>0</v>
      </c>
      <c r="J15" s="555">
        <f>C15/5000</f>
        <v>0</v>
      </c>
      <c r="K15" s="301">
        <v>6</v>
      </c>
      <c r="L15" s="462">
        <v>8</v>
      </c>
      <c r="M15" s="462">
        <v>3</v>
      </c>
      <c r="N15" s="518">
        <v>0</v>
      </c>
    </row>
    <row r="16" spans="1:14" x14ac:dyDescent="0.2">
      <c r="B16" s="151" t="s">
        <v>49</v>
      </c>
      <c r="C16" s="564">
        <f>Model!AH41</f>
        <v>5000</v>
      </c>
      <c r="D16" s="301">
        <f t="shared" si="3"/>
        <v>6</v>
      </c>
      <c r="E16" s="462">
        <f t="shared" si="3"/>
        <v>8</v>
      </c>
      <c r="F16" s="462">
        <f t="shared" si="3"/>
        <v>3</v>
      </c>
      <c r="G16" s="462">
        <f t="shared" si="3"/>
        <v>0</v>
      </c>
      <c r="H16" s="555">
        <f t="shared" si="1"/>
        <v>17</v>
      </c>
      <c r="J16" s="555">
        <f>C16/5000</f>
        <v>1</v>
      </c>
      <c r="K16" s="301">
        <v>6</v>
      </c>
      <c r="L16" s="462">
        <v>8</v>
      </c>
      <c r="M16" s="462">
        <v>3</v>
      </c>
      <c r="N16" s="518">
        <v>0</v>
      </c>
    </row>
    <row r="17" spans="2:14" x14ac:dyDescent="0.2">
      <c r="B17" s="151" t="s">
        <v>51</v>
      </c>
      <c r="C17" s="564">
        <f>Model!AH42</f>
        <v>5000</v>
      </c>
      <c r="D17" s="301">
        <f t="shared" si="3"/>
        <v>6</v>
      </c>
      <c r="E17" s="462">
        <f t="shared" si="3"/>
        <v>8</v>
      </c>
      <c r="F17" s="462">
        <f t="shared" si="3"/>
        <v>3</v>
      </c>
      <c r="G17" s="462">
        <f t="shared" si="3"/>
        <v>0</v>
      </c>
      <c r="H17" s="555">
        <f t="shared" si="1"/>
        <v>17</v>
      </c>
      <c r="J17" s="555">
        <f>C17/5000</f>
        <v>1</v>
      </c>
      <c r="K17" s="301">
        <v>6</v>
      </c>
      <c r="L17" s="462">
        <v>8</v>
      </c>
      <c r="M17" s="462">
        <v>3</v>
      </c>
      <c r="N17" s="518">
        <v>0</v>
      </c>
    </row>
    <row r="18" spans="2:14" x14ac:dyDescent="0.2">
      <c r="B18" s="151" t="s">
        <v>185</v>
      </c>
      <c r="C18" s="564">
        <f>Model!AH47-SUM(C15:C17,C19:C20)</f>
        <v>55000</v>
      </c>
      <c r="D18" s="301">
        <f t="shared" si="3"/>
        <v>66</v>
      </c>
      <c r="E18" s="462">
        <f t="shared" si="3"/>
        <v>88</v>
      </c>
      <c r="F18" s="462">
        <f t="shared" si="3"/>
        <v>33</v>
      </c>
      <c r="G18" s="462">
        <f t="shared" si="3"/>
        <v>0</v>
      </c>
      <c r="H18" s="555">
        <f t="shared" si="1"/>
        <v>187</v>
      </c>
      <c r="J18" s="555">
        <f>C18/5000</f>
        <v>11</v>
      </c>
      <c r="K18" s="301">
        <v>6</v>
      </c>
      <c r="L18" s="462">
        <v>8</v>
      </c>
      <c r="M18" s="462">
        <v>3</v>
      </c>
      <c r="N18" s="518">
        <v>0</v>
      </c>
    </row>
    <row r="19" spans="2:14" x14ac:dyDescent="0.2">
      <c r="B19" s="151" t="s">
        <v>186</v>
      </c>
      <c r="C19" s="564">
        <f>Model!AH37</f>
        <v>40000</v>
      </c>
      <c r="D19" s="301">
        <f t="shared" si="3"/>
        <v>70</v>
      </c>
      <c r="E19" s="462">
        <f t="shared" si="3"/>
        <v>120</v>
      </c>
      <c r="F19" s="462">
        <f t="shared" si="3"/>
        <v>9</v>
      </c>
      <c r="G19" s="462">
        <f t="shared" si="3"/>
        <v>1</v>
      </c>
      <c r="H19" s="555">
        <f t="shared" si="1"/>
        <v>200</v>
      </c>
      <c r="J19" s="555">
        <f>Model!I37</f>
        <v>1</v>
      </c>
      <c r="K19" s="301">
        <v>70</v>
      </c>
      <c r="L19" s="462">
        <v>120</v>
      </c>
      <c r="M19" s="462">
        <v>9</v>
      </c>
      <c r="N19" s="518">
        <v>1</v>
      </c>
    </row>
    <row r="20" spans="2:14" x14ac:dyDescent="0.2">
      <c r="B20" s="152" t="s">
        <v>41</v>
      </c>
      <c r="C20" s="565">
        <f>Model!AH38</f>
        <v>0</v>
      </c>
      <c r="D20" s="301">
        <f t="shared" si="3"/>
        <v>0</v>
      </c>
      <c r="E20" s="462">
        <f t="shared" si="3"/>
        <v>0</v>
      </c>
      <c r="F20" s="462">
        <f t="shared" si="3"/>
        <v>0</v>
      </c>
      <c r="G20" s="462">
        <f t="shared" si="3"/>
        <v>0</v>
      </c>
      <c r="H20" s="555">
        <f t="shared" si="1"/>
        <v>0</v>
      </c>
      <c r="J20" s="555">
        <f>Model!I38</f>
        <v>0</v>
      </c>
      <c r="K20" s="301">
        <v>140</v>
      </c>
      <c r="L20" s="462">
        <v>240</v>
      </c>
      <c r="M20" s="462">
        <v>18</v>
      </c>
      <c r="N20" s="518">
        <v>2</v>
      </c>
    </row>
    <row r="21" spans="2:14" s="6" customFormat="1" x14ac:dyDescent="0.2">
      <c r="B21" s="629" t="s">
        <v>301</v>
      </c>
      <c r="C21" s="630">
        <f>SUM(C15:C20)</f>
        <v>105000</v>
      </c>
      <c r="D21" s="509">
        <f t="shared" ref="D21:H21" si="4">SUM(D15:D20)</f>
        <v>148</v>
      </c>
      <c r="E21" s="631">
        <f t="shared" si="4"/>
        <v>224</v>
      </c>
      <c r="F21" s="631">
        <f t="shared" si="4"/>
        <v>48</v>
      </c>
      <c r="G21" s="631">
        <f t="shared" si="4"/>
        <v>1</v>
      </c>
      <c r="H21" s="632">
        <f t="shared" si="4"/>
        <v>421</v>
      </c>
      <c r="J21" s="632"/>
      <c r="K21" s="509"/>
      <c r="L21" s="631"/>
      <c r="M21" s="631"/>
      <c r="N21" s="633"/>
    </row>
    <row r="22" spans="2:14" x14ac:dyDescent="0.2">
      <c r="D22"/>
      <c r="E22"/>
      <c r="F22"/>
      <c r="G22"/>
      <c r="H22"/>
      <c r="J22"/>
      <c r="K22"/>
      <c r="L22"/>
      <c r="M22"/>
      <c r="N22"/>
    </row>
    <row r="23" spans="2:14" x14ac:dyDescent="0.2">
      <c r="B23" s="569" t="s">
        <v>10</v>
      </c>
      <c r="C23" s="569"/>
      <c r="D23" s="569"/>
      <c r="E23" s="569"/>
      <c r="F23" s="569"/>
      <c r="G23" s="569"/>
      <c r="H23" s="569"/>
      <c r="J23" s="569"/>
      <c r="K23" s="569"/>
      <c r="L23" s="569"/>
      <c r="M23" s="569"/>
      <c r="N23" s="569"/>
    </row>
    <row r="24" spans="2:14" x14ac:dyDescent="0.2">
      <c r="B24" s="150" t="s">
        <v>16</v>
      </c>
      <c r="C24" s="570">
        <f>Model!AF26+Model!AG26</f>
        <v>160000</v>
      </c>
      <c r="D24" s="301">
        <f t="shared" ref="D24:G30" si="5">$J24*K24</f>
        <v>4</v>
      </c>
      <c r="E24" s="462">
        <f t="shared" si="5"/>
        <v>4</v>
      </c>
      <c r="F24" s="462">
        <f t="shared" si="5"/>
        <v>2</v>
      </c>
      <c r="G24" s="462">
        <f t="shared" si="5"/>
        <v>0</v>
      </c>
      <c r="H24" s="555">
        <f t="shared" si="1"/>
        <v>10</v>
      </c>
      <c r="J24" s="554">
        <f>Model!I26</f>
        <v>2</v>
      </c>
      <c r="K24" s="298">
        <v>2</v>
      </c>
      <c r="L24" s="460">
        <v>2</v>
      </c>
      <c r="M24" s="460">
        <v>1</v>
      </c>
      <c r="N24" s="553">
        <v>0</v>
      </c>
    </row>
    <row r="25" spans="2:14" x14ac:dyDescent="0.2">
      <c r="B25" s="151" t="s">
        <v>181</v>
      </c>
      <c r="C25" s="564">
        <f>Model!AF27+Model!AG27</f>
        <v>80000</v>
      </c>
      <c r="D25" s="301">
        <f t="shared" si="5"/>
        <v>2</v>
      </c>
      <c r="E25" s="462">
        <f t="shared" si="5"/>
        <v>2</v>
      </c>
      <c r="F25" s="462">
        <f t="shared" si="5"/>
        <v>1</v>
      </c>
      <c r="G25" s="462">
        <f t="shared" si="5"/>
        <v>0</v>
      </c>
      <c r="H25" s="555">
        <f t="shared" si="1"/>
        <v>5</v>
      </c>
      <c r="J25" s="555">
        <f>Model!I27</f>
        <v>1</v>
      </c>
      <c r="K25" s="301">
        <v>2</v>
      </c>
      <c r="L25" s="462">
        <v>2</v>
      </c>
      <c r="M25" s="462">
        <v>1</v>
      </c>
      <c r="N25" s="518">
        <v>0</v>
      </c>
    </row>
    <row r="26" spans="2:14" x14ac:dyDescent="0.2">
      <c r="B26" s="151" t="s">
        <v>223</v>
      </c>
      <c r="C26" s="564">
        <f>Model!AF28+Model!AG28</f>
        <v>0</v>
      </c>
      <c r="D26" s="301">
        <f t="shared" si="5"/>
        <v>0</v>
      </c>
      <c r="E26" s="462">
        <f t="shared" si="5"/>
        <v>0</v>
      </c>
      <c r="F26" s="462">
        <f t="shared" si="5"/>
        <v>0</v>
      </c>
      <c r="G26" s="462">
        <f t="shared" si="5"/>
        <v>0</v>
      </c>
      <c r="H26" s="555">
        <f t="shared" si="1"/>
        <v>0</v>
      </c>
      <c r="J26" s="555">
        <f>Model!I28</f>
        <v>0</v>
      </c>
      <c r="K26" s="301">
        <v>3</v>
      </c>
      <c r="L26" s="462">
        <v>4</v>
      </c>
      <c r="M26" s="462">
        <v>1</v>
      </c>
      <c r="N26" s="518">
        <v>0</v>
      </c>
    </row>
    <row r="27" spans="2:14" x14ac:dyDescent="0.2">
      <c r="B27" s="151" t="s">
        <v>183</v>
      </c>
      <c r="C27" s="564">
        <f>Model!AF29+Model!AG29</f>
        <v>80000</v>
      </c>
      <c r="D27" s="301">
        <f t="shared" si="5"/>
        <v>3</v>
      </c>
      <c r="E27" s="462">
        <f t="shared" si="5"/>
        <v>4</v>
      </c>
      <c r="F27" s="462">
        <f t="shared" si="5"/>
        <v>1</v>
      </c>
      <c r="G27" s="462">
        <f t="shared" si="5"/>
        <v>0</v>
      </c>
      <c r="H27" s="555">
        <f t="shared" si="1"/>
        <v>8</v>
      </c>
      <c r="J27" s="555">
        <f>Model!I29</f>
        <v>1</v>
      </c>
      <c r="K27" s="301">
        <v>3</v>
      </c>
      <c r="L27" s="462">
        <v>4</v>
      </c>
      <c r="M27" s="462">
        <v>1</v>
      </c>
      <c r="N27" s="518">
        <v>0</v>
      </c>
    </row>
    <row r="28" spans="2:14" x14ac:dyDescent="0.2">
      <c r="B28" s="151" t="s">
        <v>46</v>
      </c>
      <c r="C28" s="564">
        <f>Model!AF40+Model!AG40</f>
        <v>0</v>
      </c>
      <c r="D28" s="301">
        <f t="shared" si="5"/>
        <v>0</v>
      </c>
      <c r="E28" s="462">
        <f t="shared" si="5"/>
        <v>0</v>
      </c>
      <c r="F28" s="462">
        <f t="shared" si="5"/>
        <v>0</v>
      </c>
      <c r="G28" s="462">
        <f t="shared" si="5"/>
        <v>0</v>
      </c>
      <c r="H28" s="555">
        <f t="shared" si="1"/>
        <v>0</v>
      </c>
      <c r="J28" s="555"/>
      <c r="K28" s="301"/>
      <c r="L28" s="462"/>
      <c r="M28" s="462"/>
      <c r="N28" s="518"/>
    </row>
    <row r="29" spans="2:14" x14ac:dyDescent="0.2">
      <c r="B29" s="151" t="s">
        <v>49</v>
      </c>
      <c r="C29" s="564">
        <f>Model!AF41+Model!AG41</f>
        <v>36000</v>
      </c>
      <c r="D29" s="301">
        <f t="shared" si="5"/>
        <v>0</v>
      </c>
      <c r="E29" s="462">
        <f t="shared" si="5"/>
        <v>0</v>
      </c>
      <c r="F29" s="462">
        <f t="shared" si="5"/>
        <v>0</v>
      </c>
      <c r="G29" s="462">
        <f t="shared" si="5"/>
        <v>0</v>
      </c>
      <c r="H29" s="555">
        <f t="shared" si="1"/>
        <v>0</v>
      </c>
      <c r="J29" s="555"/>
      <c r="K29" s="301"/>
      <c r="L29" s="462"/>
      <c r="M29" s="462"/>
      <c r="N29" s="518"/>
    </row>
    <row r="30" spans="2:14" x14ac:dyDescent="0.2">
      <c r="B30" s="152" t="s">
        <v>51</v>
      </c>
      <c r="C30" s="565">
        <f>Model!AF42+Model!AG42</f>
        <v>50000</v>
      </c>
      <c r="D30" s="301">
        <f t="shared" si="5"/>
        <v>0</v>
      </c>
      <c r="E30" s="462">
        <f t="shared" si="5"/>
        <v>0</v>
      </c>
      <c r="F30" s="462">
        <f t="shared" si="5"/>
        <v>0</v>
      </c>
      <c r="G30" s="462">
        <f t="shared" si="5"/>
        <v>0</v>
      </c>
      <c r="H30" s="555">
        <f t="shared" si="1"/>
        <v>0</v>
      </c>
      <c r="J30" s="555"/>
      <c r="K30" s="301"/>
      <c r="L30" s="462"/>
      <c r="M30" s="462"/>
      <c r="N30" s="518"/>
    </row>
    <row r="31" spans="2:14" s="6" customFormat="1" x14ac:dyDescent="0.2">
      <c r="B31" s="629" t="s">
        <v>249</v>
      </c>
      <c r="C31" s="630">
        <f>SUM(C24:C30)</f>
        <v>406000</v>
      </c>
      <c r="D31" s="509">
        <f t="shared" ref="D31:H31" si="6">SUM(D24:D30)</f>
        <v>9</v>
      </c>
      <c r="E31" s="631">
        <f t="shared" si="6"/>
        <v>10</v>
      </c>
      <c r="F31" s="631">
        <f t="shared" si="6"/>
        <v>4</v>
      </c>
      <c r="G31" s="631">
        <f t="shared" si="6"/>
        <v>0</v>
      </c>
      <c r="H31" s="632">
        <f t="shared" si="6"/>
        <v>23</v>
      </c>
      <c r="J31" s="632"/>
      <c r="K31" s="509"/>
      <c r="L31" s="631"/>
      <c r="M31" s="631"/>
      <c r="N31" s="633"/>
    </row>
    <row r="32" spans="2:14" x14ac:dyDescent="0.2">
      <c r="D32"/>
      <c r="E32"/>
      <c r="F32"/>
      <c r="G32"/>
      <c r="H32"/>
      <c r="J32"/>
      <c r="K32"/>
      <c r="L32"/>
      <c r="M32"/>
      <c r="N32"/>
    </row>
    <row r="33" spans="2:14" s="138" customFormat="1" x14ac:dyDescent="0.2">
      <c r="B33" s="569" t="s">
        <v>302</v>
      </c>
      <c r="C33" s="569"/>
      <c r="D33" s="569"/>
      <c r="E33" s="569"/>
      <c r="F33" s="569"/>
      <c r="G33" s="569"/>
      <c r="H33" s="569"/>
      <c r="J33" s="569"/>
      <c r="K33" s="569"/>
      <c r="L33" s="569"/>
      <c r="M33" s="569"/>
      <c r="N33" s="569"/>
    </row>
    <row r="34" spans="2:14" x14ac:dyDescent="0.2">
      <c r="B34" s="150" t="s">
        <v>49</v>
      </c>
      <c r="C34" s="570">
        <f>Model!AI41+Model!AJ41</f>
        <v>3500</v>
      </c>
      <c r="D34" s="301">
        <f>SUM(D50:D62)</f>
        <v>1</v>
      </c>
      <c r="E34" s="462">
        <f>SUM(E50:E62)</f>
        <v>3</v>
      </c>
      <c r="F34" s="462">
        <f>SUM(F50:F62)</f>
        <v>1</v>
      </c>
      <c r="G34" s="462">
        <f>SUM(G50:G62)</f>
        <v>0</v>
      </c>
      <c r="H34" s="555">
        <f t="shared" si="1"/>
        <v>5</v>
      </c>
      <c r="J34" s="554"/>
      <c r="K34" s="298"/>
      <c r="L34" s="460"/>
      <c r="M34" s="460"/>
      <c r="N34" s="553"/>
    </row>
    <row r="35" spans="2:14" x14ac:dyDescent="0.2">
      <c r="B35" s="151" t="s">
        <v>51</v>
      </c>
      <c r="C35" s="564">
        <f>Model!AI42+Model!AJ42</f>
        <v>10000</v>
      </c>
      <c r="D35" s="301">
        <f>SUM(D64:D65)</f>
        <v>12</v>
      </c>
      <c r="E35" s="462">
        <f t="shared" ref="E35:G35" si="7">SUM(E64:E65)</f>
        <v>1</v>
      </c>
      <c r="F35" s="462">
        <f t="shared" si="7"/>
        <v>1</v>
      </c>
      <c r="G35" s="462">
        <f t="shared" si="7"/>
        <v>0</v>
      </c>
      <c r="H35" s="555">
        <f t="shared" si="1"/>
        <v>14</v>
      </c>
      <c r="J35" s="555"/>
      <c r="K35" s="301"/>
      <c r="L35" s="462"/>
      <c r="M35" s="462"/>
      <c r="N35" s="518"/>
    </row>
    <row r="36" spans="2:14" x14ac:dyDescent="0.2">
      <c r="B36" s="152" t="s">
        <v>235</v>
      </c>
      <c r="C36" s="565">
        <f>Model!AK47</f>
        <v>60000</v>
      </c>
      <c r="D36" s="301">
        <f>$J36*K36</f>
        <v>2</v>
      </c>
      <c r="E36" s="462">
        <f>$J36*L36</f>
        <v>7</v>
      </c>
      <c r="F36" s="462">
        <f>$J36*M36</f>
        <v>2</v>
      </c>
      <c r="G36" s="462">
        <f>$J36*N36</f>
        <v>1</v>
      </c>
      <c r="H36" s="555">
        <f t="shared" si="1"/>
        <v>12</v>
      </c>
      <c r="J36" s="555">
        <f>Model!I30+Model!I39</f>
        <v>1</v>
      </c>
      <c r="K36" s="301">
        <v>2</v>
      </c>
      <c r="L36" s="462">
        <v>7</v>
      </c>
      <c r="M36" s="462">
        <v>2</v>
      </c>
      <c r="N36" s="518">
        <v>1</v>
      </c>
    </row>
    <row r="37" spans="2:14" s="6" customFormat="1" x14ac:dyDescent="0.2">
      <c r="B37" s="629" t="s">
        <v>303</v>
      </c>
      <c r="C37" s="630">
        <f>SUM(C34:C36)</f>
        <v>73500</v>
      </c>
      <c r="D37" s="509">
        <f t="shared" ref="D37:H37" si="8">SUM(D34:D36)</f>
        <v>15</v>
      </c>
      <c r="E37" s="631">
        <f t="shared" si="8"/>
        <v>11</v>
      </c>
      <c r="F37" s="631">
        <f t="shared" si="8"/>
        <v>4</v>
      </c>
      <c r="G37" s="631">
        <f t="shared" si="8"/>
        <v>1</v>
      </c>
      <c r="H37" s="632">
        <f t="shared" si="8"/>
        <v>31</v>
      </c>
      <c r="J37" s="632"/>
      <c r="K37" s="509"/>
      <c r="L37" s="631"/>
      <c r="M37" s="631"/>
      <c r="N37" s="633"/>
    </row>
    <row r="38" spans="2:14" x14ac:dyDescent="0.2">
      <c r="D38"/>
      <c r="E38"/>
      <c r="F38"/>
      <c r="G38"/>
      <c r="H38"/>
      <c r="J38"/>
      <c r="K38"/>
      <c r="L38"/>
      <c r="M38"/>
      <c r="N38"/>
    </row>
    <row r="39" spans="2:14" s="138" customFormat="1" x14ac:dyDescent="0.2">
      <c r="B39" s="569" t="s">
        <v>54</v>
      </c>
      <c r="C39" s="569"/>
      <c r="D39" s="569"/>
      <c r="E39" s="569"/>
      <c r="F39" s="569"/>
      <c r="G39" s="569"/>
      <c r="H39" s="569"/>
      <c r="J39" s="569"/>
      <c r="K39" s="569"/>
      <c r="L39" s="569"/>
      <c r="M39" s="569"/>
      <c r="N39" s="569"/>
    </row>
    <row r="40" spans="2:14" x14ac:dyDescent="0.2">
      <c r="B40" s="150" t="s">
        <v>55</v>
      </c>
      <c r="C40" s="570">
        <f>Model!AL43</f>
        <v>20000</v>
      </c>
      <c r="D40" s="301">
        <f t="shared" ref="D40:G42" si="9">$J40*K40</f>
        <v>4</v>
      </c>
      <c r="E40" s="462">
        <f t="shared" si="9"/>
        <v>0</v>
      </c>
      <c r="F40" s="462">
        <f t="shared" si="9"/>
        <v>0</v>
      </c>
      <c r="G40" s="462">
        <f t="shared" si="9"/>
        <v>0</v>
      </c>
      <c r="H40" s="555">
        <f t="shared" si="1"/>
        <v>4</v>
      </c>
      <c r="J40" s="554">
        <f>C40/5000</f>
        <v>4</v>
      </c>
      <c r="K40" s="298">
        <v>1</v>
      </c>
      <c r="L40" s="460">
        <v>0</v>
      </c>
      <c r="M40" s="460">
        <v>0</v>
      </c>
      <c r="N40" s="553">
        <v>0</v>
      </c>
    </row>
    <row r="41" spans="2:14" x14ac:dyDescent="0.2">
      <c r="B41" s="151" t="s">
        <v>57</v>
      </c>
      <c r="C41" s="564">
        <f>Model!AL44</f>
        <v>10000</v>
      </c>
      <c r="D41" s="301">
        <f t="shared" si="9"/>
        <v>2</v>
      </c>
      <c r="E41" s="462">
        <f t="shared" si="9"/>
        <v>0</v>
      </c>
      <c r="F41" s="462">
        <f t="shared" si="9"/>
        <v>0</v>
      </c>
      <c r="G41" s="462">
        <f t="shared" si="9"/>
        <v>0</v>
      </c>
      <c r="H41" s="555">
        <f t="shared" si="1"/>
        <v>2</v>
      </c>
      <c r="J41" s="555">
        <f>C41/5000</f>
        <v>2</v>
      </c>
      <c r="K41" s="301">
        <v>1</v>
      </c>
      <c r="L41" s="462">
        <v>0</v>
      </c>
      <c r="M41" s="462">
        <v>0</v>
      </c>
      <c r="N41" s="518">
        <v>0</v>
      </c>
    </row>
    <row r="42" spans="2:14" x14ac:dyDescent="0.2">
      <c r="B42" s="152" t="s">
        <v>59</v>
      </c>
      <c r="C42" s="565">
        <f>Model!AL45</f>
        <v>0</v>
      </c>
      <c r="D42" s="301">
        <f t="shared" si="9"/>
        <v>0</v>
      </c>
      <c r="E42" s="462">
        <f t="shared" si="9"/>
        <v>0</v>
      </c>
      <c r="F42" s="462">
        <f t="shared" si="9"/>
        <v>0</v>
      </c>
      <c r="G42" s="462">
        <f t="shared" si="9"/>
        <v>0</v>
      </c>
      <c r="H42" s="555">
        <f t="shared" si="1"/>
        <v>0</v>
      </c>
      <c r="J42" s="555">
        <f>C42/5000</f>
        <v>0</v>
      </c>
      <c r="K42" s="301">
        <v>1</v>
      </c>
      <c r="L42" s="462">
        <v>0</v>
      </c>
      <c r="M42" s="462">
        <v>0</v>
      </c>
      <c r="N42" s="518">
        <v>0</v>
      </c>
    </row>
    <row r="43" spans="2:14" s="6" customFormat="1" x14ac:dyDescent="0.2">
      <c r="B43" s="629" t="s">
        <v>179</v>
      </c>
      <c r="C43" s="630">
        <f>SUM(C40:C42)</f>
        <v>30000</v>
      </c>
      <c r="D43" s="509">
        <f t="shared" ref="D43:H43" si="10">SUM(D40:D42)</f>
        <v>6</v>
      </c>
      <c r="E43" s="631">
        <f t="shared" si="10"/>
        <v>0</v>
      </c>
      <c r="F43" s="631">
        <f t="shared" si="10"/>
        <v>0</v>
      </c>
      <c r="G43" s="631">
        <f t="shared" si="10"/>
        <v>0</v>
      </c>
      <c r="H43" s="632">
        <f t="shared" si="10"/>
        <v>6</v>
      </c>
      <c r="J43" s="632"/>
      <c r="K43" s="509"/>
      <c r="L43" s="631"/>
      <c r="M43" s="631"/>
      <c r="N43" s="633"/>
    </row>
    <row r="44" spans="2:14" x14ac:dyDescent="0.2">
      <c r="D44"/>
      <c r="E44"/>
      <c r="F44"/>
      <c r="G44"/>
      <c r="H44"/>
      <c r="J44"/>
      <c r="K44"/>
      <c r="L44"/>
      <c r="M44"/>
      <c r="N44"/>
    </row>
    <row r="45" spans="2:14" s="6" customFormat="1" x14ac:dyDescent="0.2">
      <c r="B45" s="517" t="s">
        <v>61</v>
      </c>
      <c r="C45" s="632">
        <f>C12+C21+C31+C37+C43</f>
        <v>853000</v>
      </c>
      <c r="D45" s="509">
        <f t="shared" ref="D45:H45" si="11">D12+D21+D31+D37+D43</f>
        <v>231</v>
      </c>
      <c r="E45" s="631">
        <f t="shared" si="11"/>
        <v>404</v>
      </c>
      <c r="F45" s="631">
        <f t="shared" si="11"/>
        <v>454</v>
      </c>
      <c r="G45" s="631">
        <f t="shared" si="11"/>
        <v>81</v>
      </c>
      <c r="H45" s="632">
        <f t="shared" si="11"/>
        <v>1170</v>
      </c>
    </row>
    <row r="46" spans="2:14" x14ac:dyDescent="0.2"/>
    <row r="47" spans="2:14" x14ac:dyDescent="0.2"/>
    <row r="48" spans="2:14" hidden="1" outlineLevel="1" x14ac:dyDescent="0.2">
      <c r="B48" s="317" t="s">
        <v>191</v>
      </c>
      <c r="C48" s="576"/>
      <c r="D48" s="576"/>
      <c r="E48" s="576"/>
      <c r="F48" s="576"/>
      <c r="G48" s="577"/>
      <c r="H48"/>
      <c r="J48"/>
      <c r="K48" s="317" t="s">
        <v>293</v>
      </c>
      <c r="L48" s="576"/>
      <c r="M48" s="576"/>
      <c r="N48" s="577"/>
    </row>
    <row r="49" spans="2:14" ht="32" hidden="1" outlineLevel="1" x14ac:dyDescent="0.2">
      <c r="B49" s="326" t="s">
        <v>49</v>
      </c>
      <c r="C49" s="137"/>
      <c r="D49" s="566"/>
      <c r="E49" s="566"/>
      <c r="F49" s="566"/>
      <c r="G49" s="567"/>
      <c r="H49" s="546"/>
      <c r="J49"/>
      <c r="K49" s="556" t="s">
        <v>296</v>
      </c>
      <c r="L49" s="552" t="s">
        <v>297</v>
      </c>
      <c r="M49" s="552" t="s">
        <v>298</v>
      </c>
      <c r="N49" s="552" t="s">
        <v>299</v>
      </c>
    </row>
    <row r="50" spans="2:14" hidden="1" outlineLevel="1" x14ac:dyDescent="0.2">
      <c r="B50" s="69" t="s">
        <v>107</v>
      </c>
      <c r="C50">
        <f>IF(Summary!C47&gt;0,1,0)</f>
        <v>0</v>
      </c>
      <c r="D50" s="546">
        <f t="shared" ref="D50:D62" si="12">$C50*K50</f>
        <v>0</v>
      </c>
      <c r="E50" s="546">
        <f t="shared" ref="E50:E62" si="13">$C50*L50</f>
        <v>0</v>
      </c>
      <c r="F50" s="546">
        <f t="shared" ref="F50:F62" si="14">$C50*M50</f>
        <v>0</v>
      </c>
      <c r="G50" s="548">
        <f t="shared" ref="G50:G62" si="15">$C50*N50</f>
        <v>0</v>
      </c>
      <c r="H50" s="546"/>
      <c r="J50" s="546"/>
      <c r="K50" s="578">
        <v>3</v>
      </c>
      <c r="L50" s="545">
        <v>5</v>
      </c>
      <c r="M50" s="545">
        <v>2</v>
      </c>
      <c r="N50" s="579">
        <v>1</v>
      </c>
    </row>
    <row r="51" spans="2:14" hidden="1" outlineLevel="1" x14ac:dyDescent="0.2">
      <c r="B51" s="69" t="s">
        <v>108</v>
      </c>
      <c r="C51">
        <f>IF(Summary!C48&gt;0,1,0)</f>
        <v>0</v>
      </c>
      <c r="D51" s="546">
        <f t="shared" si="12"/>
        <v>0</v>
      </c>
      <c r="E51" s="546">
        <f t="shared" si="13"/>
        <v>0</v>
      </c>
      <c r="F51" s="546">
        <f t="shared" si="14"/>
        <v>0</v>
      </c>
      <c r="G51" s="548">
        <f t="shared" si="15"/>
        <v>0</v>
      </c>
      <c r="H51" s="546"/>
      <c r="J51" s="546"/>
      <c r="K51" s="547">
        <v>1</v>
      </c>
      <c r="L51" s="546">
        <v>1</v>
      </c>
      <c r="M51" s="546">
        <v>1</v>
      </c>
      <c r="N51" s="548"/>
    </row>
    <row r="52" spans="2:14" hidden="1" outlineLevel="1" x14ac:dyDescent="0.2">
      <c r="B52" s="69" t="s">
        <v>109</v>
      </c>
      <c r="C52">
        <f>IF(Summary!C49&gt;0,1,0)</f>
        <v>0</v>
      </c>
      <c r="D52" s="546">
        <f t="shared" si="12"/>
        <v>0</v>
      </c>
      <c r="E52" s="546">
        <f t="shared" si="13"/>
        <v>0</v>
      </c>
      <c r="F52" s="546">
        <f t="shared" si="14"/>
        <v>0</v>
      </c>
      <c r="G52" s="548">
        <f t="shared" si="15"/>
        <v>0</v>
      </c>
      <c r="H52" s="546"/>
      <c r="J52" s="546"/>
      <c r="K52" s="547">
        <v>3</v>
      </c>
      <c r="L52" s="546">
        <v>4</v>
      </c>
      <c r="M52" s="546">
        <v>2</v>
      </c>
      <c r="N52" s="548">
        <v>1</v>
      </c>
    </row>
    <row r="53" spans="2:14" hidden="1" outlineLevel="1" x14ac:dyDescent="0.2">
      <c r="B53" s="69" t="s">
        <v>110</v>
      </c>
      <c r="C53">
        <f>IF(Summary!C50&gt;0,1,0)</f>
        <v>1</v>
      </c>
      <c r="D53" s="546">
        <f t="shared" si="12"/>
        <v>1</v>
      </c>
      <c r="E53" s="546">
        <f t="shared" si="13"/>
        <v>3</v>
      </c>
      <c r="F53" s="546">
        <f t="shared" si="14"/>
        <v>1</v>
      </c>
      <c r="G53" s="548">
        <f t="shared" si="15"/>
        <v>0</v>
      </c>
      <c r="H53" s="546"/>
      <c r="J53" s="546"/>
      <c r="K53" s="547">
        <v>1</v>
      </c>
      <c r="L53" s="546">
        <v>3</v>
      </c>
      <c r="M53" s="546">
        <v>1</v>
      </c>
      <c r="N53" s="548"/>
    </row>
    <row r="54" spans="2:14" hidden="1" outlineLevel="1" x14ac:dyDescent="0.2">
      <c r="B54" s="69" t="s">
        <v>111</v>
      </c>
      <c r="C54">
        <f>IF(Summary!C51&gt;0,1,0)</f>
        <v>0</v>
      </c>
      <c r="D54" s="546">
        <f t="shared" si="12"/>
        <v>0</v>
      </c>
      <c r="E54" s="546">
        <f t="shared" si="13"/>
        <v>0</v>
      </c>
      <c r="F54" s="546">
        <f t="shared" si="14"/>
        <v>0</v>
      </c>
      <c r="G54" s="548">
        <f t="shared" si="15"/>
        <v>0</v>
      </c>
      <c r="H54" s="546"/>
      <c r="J54" s="546"/>
      <c r="K54" s="547"/>
      <c r="L54" s="546">
        <v>1</v>
      </c>
      <c r="M54" s="546">
        <v>1</v>
      </c>
      <c r="N54" s="548"/>
    </row>
    <row r="55" spans="2:14" hidden="1" outlineLevel="1" x14ac:dyDescent="0.2">
      <c r="B55" s="69" t="s">
        <v>112</v>
      </c>
      <c r="C55">
        <f>IF(Summary!C52&gt;0,1,0)</f>
        <v>0</v>
      </c>
      <c r="D55" s="546">
        <f t="shared" si="12"/>
        <v>0</v>
      </c>
      <c r="E55" s="546">
        <f t="shared" si="13"/>
        <v>0</v>
      </c>
      <c r="F55" s="546">
        <f t="shared" si="14"/>
        <v>0</v>
      </c>
      <c r="G55" s="548">
        <f t="shared" si="15"/>
        <v>0</v>
      </c>
      <c r="H55" s="546"/>
      <c r="J55" s="546"/>
      <c r="K55" s="547"/>
      <c r="L55" s="546"/>
      <c r="M55" s="546">
        <v>2</v>
      </c>
      <c r="N55" s="548"/>
    </row>
    <row r="56" spans="2:14" hidden="1" outlineLevel="1" x14ac:dyDescent="0.2">
      <c r="B56" s="69" t="s">
        <v>113</v>
      </c>
      <c r="C56">
        <f>IF(Summary!C53&gt;0,1,0)</f>
        <v>0</v>
      </c>
      <c r="D56" s="546">
        <f t="shared" si="12"/>
        <v>0</v>
      </c>
      <c r="E56" s="546">
        <f t="shared" si="13"/>
        <v>0</v>
      </c>
      <c r="F56" s="546">
        <f t="shared" si="14"/>
        <v>0</v>
      </c>
      <c r="G56" s="548">
        <f t="shared" si="15"/>
        <v>0</v>
      </c>
      <c r="H56" s="546"/>
      <c r="J56" s="546"/>
      <c r="K56" s="547">
        <v>1</v>
      </c>
      <c r="L56" s="546">
        <v>2</v>
      </c>
      <c r="M56" s="546">
        <v>3</v>
      </c>
      <c r="N56" s="548">
        <v>1</v>
      </c>
    </row>
    <row r="57" spans="2:14" hidden="1" outlineLevel="1" x14ac:dyDescent="0.2">
      <c r="B57" s="69" t="s">
        <v>114</v>
      </c>
      <c r="C57">
        <f>IF(Summary!C54&gt;0,1,0)</f>
        <v>0</v>
      </c>
      <c r="D57" s="546">
        <f t="shared" si="12"/>
        <v>0</v>
      </c>
      <c r="E57" s="546">
        <f t="shared" si="13"/>
        <v>0</v>
      </c>
      <c r="F57" s="546">
        <f t="shared" si="14"/>
        <v>0</v>
      </c>
      <c r="G57" s="548">
        <f t="shared" si="15"/>
        <v>0</v>
      </c>
      <c r="H57" s="546"/>
      <c r="J57" s="546"/>
      <c r="K57" s="547">
        <v>1</v>
      </c>
      <c r="L57" s="546">
        <v>4</v>
      </c>
      <c r="M57" s="546">
        <v>3</v>
      </c>
      <c r="N57" s="548"/>
    </row>
    <row r="58" spans="2:14" hidden="1" outlineLevel="1" x14ac:dyDescent="0.2">
      <c r="B58" s="69" t="s">
        <v>115</v>
      </c>
      <c r="C58">
        <f>IF(Summary!C55&gt;0,1,0)</f>
        <v>0</v>
      </c>
      <c r="D58" s="546">
        <f t="shared" si="12"/>
        <v>0</v>
      </c>
      <c r="E58" s="546">
        <f t="shared" si="13"/>
        <v>0</v>
      </c>
      <c r="F58" s="546">
        <f t="shared" si="14"/>
        <v>0</v>
      </c>
      <c r="G58" s="548">
        <f t="shared" si="15"/>
        <v>0</v>
      </c>
      <c r="H58" s="546"/>
      <c r="J58" s="546"/>
      <c r="K58" s="547">
        <v>1</v>
      </c>
      <c r="L58" s="546">
        <v>3</v>
      </c>
      <c r="M58" s="546">
        <v>1</v>
      </c>
      <c r="N58" s="548">
        <v>1</v>
      </c>
    </row>
    <row r="59" spans="2:14" hidden="1" outlineLevel="1" x14ac:dyDescent="0.2">
      <c r="B59" s="69" t="s">
        <v>116</v>
      </c>
      <c r="C59">
        <f>IF(Summary!C56&gt;0,1,0)</f>
        <v>0</v>
      </c>
      <c r="D59" s="546">
        <f t="shared" si="12"/>
        <v>0</v>
      </c>
      <c r="E59" s="546">
        <f t="shared" si="13"/>
        <v>0</v>
      </c>
      <c r="F59" s="546">
        <f t="shared" si="14"/>
        <v>0</v>
      </c>
      <c r="G59" s="548">
        <f t="shared" si="15"/>
        <v>0</v>
      </c>
      <c r="H59" s="546"/>
      <c r="J59" s="546"/>
      <c r="K59" s="547">
        <v>2</v>
      </c>
      <c r="L59" s="546">
        <v>2</v>
      </c>
      <c r="M59" s="546">
        <v>2</v>
      </c>
      <c r="N59" s="548">
        <v>1</v>
      </c>
    </row>
    <row r="60" spans="2:14" hidden="1" outlineLevel="1" x14ac:dyDescent="0.2">
      <c r="B60" s="69" t="s">
        <v>117</v>
      </c>
      <c r="C60">
        <f>IF(Summary!C57&gt;0,1,0)</f>
        <v>0</v>
      </c>
      <c r="D60" s="546">
        <f t="shared" si="12"/>
        <v>0</v>
      </c>
      <c r="E60" s="546">
        <f t="shared" si="13"/>
        <v>0</v>
      </c>
      <c r="F60" s="546">
        <f t="shared" si="14"/>
        <v>0</v>
      </c>
      <c r="G60" s="548">
        <f t="shared" si="15"/>
        <v>0</v>
      </c>
      <c r="H60" s="546"/>
      <c r="J60" s="546"/>
      <c r="K60" s="547">
        <v>4</v>
      </c>
      <c r="L60" s="546">
        <v>2</v>
      </c>
      <c r="M60" s="546">
        <v>1</v>
      </c>
      <c r="N60" s="548">
        <v>1</v>
      </c>
    </row>
    <row r="61" spans="2:14" hidden="1" outlineLevel="1" x14ac:dyDescent="0.2">
      <c r="B61" s="69" t="s">
        <v>304</v>
      </c>
      <c r="C61">
        <f>IF(Summary!D58&gt;0,1,0)</f>
        <v>0</v>
      </c>
      <c r="D61" s="546">
        <f t="shared" si="12"/>
        <v>0</v>
      </c>
      <c r="E61" s="546">
        <f t="shared" si="13"/>
        <v>0</v>
      </c>
      <c r="F61" s="546">
        <f t="shared" si="14"/>
        <v>0</v>
      </c>
      <c r="G61" s="548">
        <f t="shared" si="15"/>
        <v>0</v>
      </c>
      <c r="H61" s="546"/>
      <c r="J61" s="546"/>
      <c r="K61" s="547">
        <v>12</v>
      </c>
      <c r="L61" s="546">
        <v>1</v>
      </c>
      <c r="M61" s="546">
        <v>1</v>
      </c>
      <c r="N61" s="548"/>
    </row>
    <row r="62" spans="2:14" hidden="1" outlineLevel="1" x14ac:dyDescent="0.2">
      <c r="B62" s="69" t="s">
        <v>119</v>
      </c>
      <c r="C62">
        <f>IF(Summary!D59&gt;0,1,0)</f>
        <v>0</v>
      </c>
      <c r="D62" s="546">
        <f t="shared" si="12"/>
        <v>0</v>
      </c>
      <c r="E62" s="546">
        <f t="shared" si="13"/>
        <v>0</v>
      </c>
      <c r="F62" s="546">
        <f t="shared" si="14"/>
        <v>0</v>
      </c>
      <c r="G62" s="548">
        <f t="shared" si="15"/>
        <v>0</v>
      </c>
      <c r="H62" s="546"/>
      <c r="J62" s="546"/>
      <c r="K62" s="547">
        <v>5</v>
      </c>
      <c r="L62" s="546">
        <v>5</v>
      </c>
      <c r="M62" s="546">
        <v>10</v>
      </c>
      <c r="N62" s="548">
        <v>1</v>
      </c>
    </row>
    <row r="63" spans="2:14" hidden="1" outlineLevel="1" x14ac:dyDescent="0.2">
      <c r="B63" s="326" t="s">
        <v>51</v>
      </c>
      <c r="C63" s="137"/>
      <c r="D63" s="566"/>
      <c r="E63" s="566"/>
      <c r="F63" s="566"/>
      <c r="G63" s="567"/>
      <c r="H63" s="546"/>
      <c r="J63" s="546"/>
      <c r="K63" s="547"/>
      <c r="L63" s="546"/>
      <c r="M63" s="546"/>
      <c r="N63" s="548"/>
    </row>
    <row r="64" spans="2:14" hidden="1" outlineLevel="1" x14ac:dyDescent="0.2">
      <c r="B64" s="69" t="s">
        <v>305</v>
      </c>
      <c r="C64">
        <f>IF(Summary!D61&gt;0,1,0)</f>
        <v>1</v>
      </c>
      <c r="D64" s="546">
        <f t="shared" ref="D64:G65" si="16">$C64*K64</f>
        <v>12</v>
      </c>
      <c r="E64" s="546">
        <f t="shared" si="16"/>
        <v>1</v>
      </c>
      <c r="F64" s="546">
        <f t="shared" si="16"/>
        <v>1</v>
      </c>
      <c r="G64" s="548">
        <f t="shared" si="16"/>
        <v>0</v>
      </c>
      <c r="H64" s="546"/>
      <c r="J64" s="546"/>
      <c r="K64" s="547">
        <v>12</v>
      </c>
      <c r="L64" s="546">
        <v>1</v>
      </c>
      <c r="M64" s="546">
        <v>1</v>
      </c>
      <c r="N64" s="548"/>
    </row>
    <row r="65" spans="2:14" hidden="1" outlineLevel="1" x14ac:dyDescent="0.2">
      <c r="B65" s="70" t="s">
        <v>306</v>
      </c>
      <c r="C65" s="71">
        <f>IF(Summary!D62&gt;0,1,0)</f>
        <v>0</v>
      </c>
      <c r="D65" s="550">
        <f t="shared" si="16"/>
        <v>0</v>
      </c>
      <c r="E65" s="550">
        <f t="shared" si="16"/>
        <v>0</v>
      </c>
      <c r="F65" s="550">
        <f t="shared" si="16"/>
        <v>0</v>
      </c>
      <c r="G65" s="551">
        <f t="shared" si="16"/>
        <v>0</v>
      </c>
      <c r="H65" s="546"/>
      <c r="J65"/>
      <c r="K65" s="549">
        <v>5</v>
      </c>
      <c r="L65" s="550">
        <v>5</v>
      </c>
      <c r="M65" s="550">
        <v>10</v>
      </c>
      <c r="N65" s="551">
        <v>1</v>
      </c>
    </row>
    <row r="66" spans="2:14" collapsed="1" x14ac:dyDescent="0.2">
      <c r="D66"/>
      <c r="E66"/>
      <c r="F66"/>
      <c r="G66"/>
      <c r="H66"/>
      <c r="J66"/>
      <c r="K66"/>
      <c r="L66"/>
      <c r="M66"/>
      <c r="N66"/>
    </row>
    <row r="67" spans="2:14" x14ac:dyDescent="0.2"/>
    <row r="69" spans="2:14" x14ac:dyDescent="0.2"/>
  </sheetData>
  <sheetProtection algorithmName="SHA-512" hashValue="oBuC3HvfEUDqnf4e8T5kSAx8mlPLEmFVZsueP30pFDDLYDaRFPX9XJp02tF034SI9FIIHMT3eaDQgxltf13bhw==" saltValue="BAcxPsVUPZ8+hLnzKwVriw==" spinCount="100000" sheet="1" objects="1" scenarios="1"/>
  <pageMargins left="0.25" right="0.25" top="0.75" bottom="0.75" header="0.3" footer="0.3"/>
  <pageSetup scale="72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FCA7-429B-4037-A508-F2EC508ADC2C}">
  <sheetPr codeName="Sheet15"/>
  <dimension ref="A1:C31"/>
  <sheetViews>
    <sheetView showGridLines="0" workbookViewId="0">
      <selection activeCell="K36" sqref="K36"/>
    </sheetView>
  </sheetViews>
  <sheetFormatPr baseColWidth="10" defaultColWidth="0" defaultRowHeight="15" zeroHeight="1" x14ac:dyDescent="0.2"/>
  <cols>
    <col min="1" max="1" width="59.83203125" customWidth="1"/>
    <col min="2" max="2" width="18.83203125" customWidth="1"/>
    <col min="3" max="3" width="93.1640625" customWidth="1"/>
    <col min="4" max="4" width="8.83203125" customWidth="1"/>
  </cols>
  <sheetData>
    <row r="1" spans="1:3" ht="16" thickBot="1" x14ac:dyDescent="0.25"/>
    <row r="2" spans="1:3" x14ac:dyDescent="0.2">
      <c r="A2" t="s">
        <v>307</v>
      </c>
      <c r="B2" s="521" t="str">
        <f>Summary!C4</f>
        <v>Name</v>
      </c>
      <c r="C2" s="6" t="s">
        <v>308</v>
      </c>
    </row>
    <row r="3" spans="1:3" x14ac:dyDescent="0.2">
      <c r="A3" t="s">
        <v>309</v>
      </c>
      <c r="B3" s="522">
        <f>Summary!H18</f>
        <v>40408810</v>
      </c>
    </row>
    <row r="4" spans="1:3" x14ac:dyDescent="0.2">
      <c r="A4" t="s">
        <v>310</v>
      </c>
      <c r="B4" s="372">
        <f>Summary!H19</f>
        <v>0.15066547368610225</v>
      </c>
    </row>
    <row r="5" spans="1:3" x14ac:dyDescent="0.2">
      <c r="A5" t="s">
        <v>311</v>
      </c>
      <c r="B5" s="522">
        <f>Summary!H28</f>
        <v>12804750</v>
      </c>
    </row>
    <row r="6" spans="1:3" x14ac:dyDescent="0.2">
      <c r="A6" t="s">
        <v>312</v>
      </c>
      <c r="B6" s="523">
        <f>Summary!H48</f>
        <v>1170</v>
      </c>
    </row>
    <row r="7" spans="1:3" x14ac:dyDescent="0.2">
      <c r="A7" t="s">
        <v>313</v>
      </c>
      <c r="B7" s="523">
        <f>Summary!H44</f>
        <v>231</v>
      </c>
    </row>
    <row r="8" spans="1:3" x14ac:dyDescent="0.2">
      <c r="A8" t="s">
        <v>314</v>
      </c>
      <c r="B8" s="523">
        <f>Summary!H45</f>
        <v>404</v>
      </c>
    </row>
    <row r="9" spans="1:3" x14ac:dyDescent="0.2">
      <c r="A9" t="s">
        <v>315</v>
      </c>
      <c r="B9" s="523">
        <f>Summary!H46</f>
        <v>454</v>
      </c>
    </row>
    <row r="10" spans="1:3" x14ac:dyDescent="0.2">
      <c r="A10" t="s">
        <v>316</v>
      </c>
      <c r="B10" s="523">
        <f>Summary!H47</f>
        <v>81</v>
      </c>
    </row>
    <row r="11" spans="1:3" x14ac:dyDescent="0.2">
      <c r="A11" t="s">
        <v>201</v>
      </c>
      <c r="B11" s="523">
        <f>Summary!G53</f>
        <v>378</v>
      </c>
    </row>
    <row r="12" spans="1:3" x14ac:dyDescent="0.2">
      <c r="A12" t="s">
        <v>317</v>
      </c>
      <c r="B12" s="523">
        <f>Summary!G51</f>
        <v>334</v>
      </c>
    </row>
    <row r="13" spans="1:3" x14ac:dyDescent="0.2">
      <c r="A13" t="s">
        <v>318</v>
      </c>
      <c r="B13" s="523">
        <f>Summary!G52</f>
        <v>44</v>
      </c>
    </row>
    <row r="14" spans="1:3" x14ac:dyDescent="0.2">
      <c r="A14" t="s">
        <v>319</v>
      </c>
      <c r="B14" s="373">
        <f>Summary!H52</f>
        <v>0.1164021164021164</v>
      </c>
    </row>
    <row r="15" spans="1:3" x14ac:dyDescent="0.2">
      <c r="A15" t="s">
        <v>320</v>
      </c>
      <c r="B15" s="524" t="str">
        <f>CONCATENATE(IF(Model!I39&gt;0,"Rehab",""),IF(Model!I30&gt;0,"New",""),IF(Model!I30+Model!I39=0,"None",""))</f>
        <v>New</v>
      </c>
    </row>
    <row r="16" spans="1:3" x14ac:dyDescent="0.2">
      <c r="A16" t="s">
        <v>321</v>
      </c>
      <c r="B16" s="524" t="str">
        <f>CONCATENATE(IF(Model!I37&gt;0,"Supermarket ",""),IF(Model!I38&gt;0,"Q-Mart",""),IF(SUM(Model!I37:I38)=0,"Neither",""))</f>
        <v xml:space="preserve">Supermarket </v>
      </c>
    </row>
    <row r="17" spans="1:2" x14ac:dyDescent="0.2">
      <c r="A17" t="s">
        <v>322</v>
      </c>
      <c r="B17" s="523">
        <f>SUM(Summary!C46:C57)</f>
        <v>3500</v>
      </c>
    </row>
    <row r="18" spans="1:2" x14ac:dyDescent="0.2">
      <c r="A18" t="s">
        <v>323</v>
      </c>
      <c r="B18" s="523">
        <f>SUM(Summary!D58:D62)</f>
        <v>10000</v>
      </c>
    </row>
    <row r="19" spans="1:2" x14ac:dyDescent="0.2">
      <c r="A19" t="s">
        <v>324</v>
      </c>
      <c r="B19" s="373">
        <f>Summary!H37</f>
        <v>0.06</v>
      </c>
    </row>
    <row r="20" spans="1:2" x14ac:dyDescent="0.2">
      <c r="A20" t="s">
        <v>325</v>
      </c>
      <c r="B20" s="374">
        <f>Summary!G34</f>
        <v>20000</v>
      </c>
    </row>
    <row r="21" spans="1:2" x14ac:dyDescent="0.2">
      <c r="A21" t="s">
        <v>326</v>
      </c>
      <c r="B21" s="374">
        <f>Summary!G35</f>
        <v>10000</v>
      </c>
    </row>
    <row r="22" spans="1:2" x14ac:dyDescent="0.2">
      <c r="A22" t="s">
        <v>327</v>
      </c>
      <c r="B22" s="374">
        <f>Summary!G36</f>
        <v>0</v>
      </c>
    </row>
    <row r="23" spans="1:2" x14ac:dyDescent="0.2">
      <c r="A23" t="s">
        <v>328</v>
      </c>
      <c r="B23" s="373">
        <f>'Use Allocation'!J6</f>
        <v>0.2</v>
      </c>
    </row>
    <row r="24" spans="1:2" x14ac:dyDescent="0.2">
      <c r="A24" t="s">
        <v>329</v>
      </c>
      <c r="B24" s="635" t="str">
        <f>IF(COUNTIF(Market!H5:H27,"&gt;0"),"Yes","No")</f>
        <v>No</v>
      </c>
    </row>
    <row r="25" spans="1:2" ht="16" thickBot="1" x14ac:dyDescent="0.25">
      <c r="A25" t="s">
        <v>330</v>
      </c>
      <c r="B25" s="377" t="str">
        <f>Summary!H58</f>
        <v>3 to 1</v>
      </c>
    </row>
    <row r="26" spans="1:2" x14ac:dyDescent="0.2"/>
    <row r="27" spans="1:2" x14ac:dyDescent="0.2"/>
    <row r="28" spans="1:2" x14ac:dyDescent="0.2"/>
    <row r="29" spans="1:2" x14ac:dyDescent="0.2"/>
    <row r="30" spans="1:2" x14ac:dyDescent="0.2"/>
    <row r="31" spans="1:2" x14ac:dyDescent="0.2"/>
  </sheetData>
  <sheetProtection algorithmName="SHA-512" hashValue="hM6UQ/2/pVy6PTtFbN+XhSx2WAk7VPHrd8dbgj0aGunJWtsV/6tsQh3ENo0kJP49aS/eyJQcmkGuDpn2N73SGg==" saltValue="w2wHV3o9Rd3llWsIK/ji5g==" spinCount="100000" sheet="1" objects="1" scenarios="1"/>
  <pageMargins left="0.7" right="0.7" top="0.75" bottom="0.75" header="0.3" footer="0.3"/>
  <pageSetup paperSize="20" orientation="portrait" horizontalDpi="4294967293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0F19-604E-4D8C-AE9A-1B75C696656D}">
  <sheetPr codeName="Sheet11"/>
  <dimension ref="A1"/>
  <sheetViews>
    <sheetView showGridLines="0" workbookViewId="0">
      <selection activeCell="K36" sqref="K36"/>
    </sheetView>
  </sheetViews>
  <sheetFormatPr baseColWidth="10" defaultColWidth="9.1640625" defaultRowHeight="15" x14ac:dyDescent="0.2"/>
  <cols>
    <col min="1" max="16384" width="9.1640625" style="540"/>
  </cols>
  <sheetData>
    <row r="1" spans="1:1" x14ac:dyDescent="0.2">
      <c r="A1" s="342" t="s">
        <v>331</v>
      </c>
    </row>
  </sheetData>
  <sheetProtection sheet="1" objects="1" scenarios="1" selectLockedCell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1E71-30E6-4AE9-A33C-0F1D56309BD5}">
  <sheetPr codeName="Sheet12">
    <pageSetUpPr fitToPage="1"/>
  </sheetPr>
  <dimension ref="A1:CE54"/>
  <sheetViews>
    <sheetView showGridLines="0" topLeftCell="Y1" workbookViewId="0">
      <selection activeCell="AN16" sqref="AN16"/>
    </sheetView>
  </sheetViews>
  <sheetFormatPr baseColWidth="10" defaultColWidth="0" defaultRowHeight="15" zeroHeight="1" x14ac:dyDescent="0.2"/>
  <cols>
    <col min="1" max="1" width="13.5" customWidth="1"/>
    <col min="2" max="2" width="20.1640625" customWidth="1"/>
    <col min="3" max="3" width="16.83203125" bestFit="1" customWidth="1"/>
    <col min="4" max="6" width="12.5" customWidth="1"/>
    <col min="7" max="7" width="14" customWidth="1"/>
    <col min="8" max="8" width="12.5" customWidth="1"/>
    <col min="9" max="9" width="13.5" customWidth="1"/>
    <col min="10" max="10" width="13.83203125" customWidth="1"/>
    <col min="11" max="11" width="12.5" style="3" customWidth="1"/>
    <col min="12" max="12" width="13" bestFit="1" customWidth="1"/>
    <col min="13" max="13" width="11.5" bestFit="1" customWidth="1"/>
    <col min="14" max="14" width="13.5" customWidth="1"/>
    <col min="15" max="15" width="11.5" bestFit="1" customWidth="1"/>
    <col min="16" max="16" width="13.5" bestFit="1" customWidth="1"/>
    <col min="17" max="20" width="11" customWidth="1"/>
    <col min="21" max="21" width="18.1640625" customWidth="1"/>
    <col min="22" max="22" width="12" bestFit="1" customWidth="1"/>
    <col min="23" max="23" width="11.5" bestFit="1" customWidth="1"/>
    <col min="24" max="24" width="10.5" customWidth="1"/>
    <col min="25" max="26" width="10.83203125" customWidth="1"/>
    <col min="27" max="27" width="13.5" bestFit="1" customWidth="1"/>
    <col min="28" max="28" width="11.1640625" customWidth="1"/>
    <col min="29" max="29" width="13.5" customWidth="1"/>
    <col min="30" max="30" width="10.1640625" customWidth="1"/>
    <col min="31" max="31" width="11.5" bestFit="1" customWidth="1"/>
    <col min="32" max="34" width="12.83203125" customWidth="1"/>
    <col min="35" max="35" width="15.83203125" customWidth="1"/>
    <col min="36" max="36" width="13.1640625" customWidth="1"/>
    <col min="37" max="37" width="13.83203125" customWidth="1"/>
    <col min="38" max="38" width="11.5" bestFit="1" customWidth="1"/>
    <col min="39" max="41" width="16" customWidth="1"/>
    <col min="42" max="42" width="8.5" customWidth="1"/>
    <col min="43" max="43" width="15.5" customWidth="1"/>
    <col min="44" max="44" width="11" bestFit="1" customWidth="1"/>
    <col min="45" max="45" width="14.83203125" style="640" bestFit="1" customWidth="1"/>
    <col min="46" max="46" width="17.5" style="640" bestFit="1" customWidth="1"/>
    <col min="47" max="47" width="10.5" style="640" bestFit="1" customWidth="1"/>
    <col min="48" max="48" width="7.5" style="640" bestFit="1" customWidth="1"/>
    <col min="49" max="49" width="10.5" style="640" bestFit="1" customWidth="1"/>
    <col min="50" max="50" width="10.5" style="646" bestFit="1" customWidth="1"/>
    <col min="51" max="51" width="13.5" customWidth="1"/>
    <col min="52" max="53" width="12" customWidth="1"/>
    <col min="54" max="54" width="11" bestFit="1" customWidth="1"/>
    <col min="55" max="55" width="12" customWidth="1"/>
    <col min="56" max="56" width="12.5" bestFit="1" customWidth="1"/>
    <col min="57" max="58" width="12.5" customWidth="1"/>
    <col min="59" max="59" width="12.5" style="29" customWidth="1"/>
    <col min="60" max="60" width="12.83203125" bestFit="1" customWidth="1"/>
    <col min="61" max="61" width="12" customWidth="1"/>
    <col min="62" max="62" width="9.5" bestFit="1" customWidth="1"/>
    <col min="63" max="63" width="11.5" bestFit="1" customWidth="1"/>
    <col min="64" max="64" width="18" bestFit="1" customWidth="1"/>
    <col min="65" max="65" width="12.1640625" style="4" customWidth="1"/>
    <col min="66" max="66" width="12.5" style="4" bestFit="1" customWidth="1"/>
    <col min="67" max="67" width="12.83203125" style="4" customWidth="1"/>
    <col min="68" max="68" width="9.83203125" customWidth="1"/>
    <col min="69" max="69" width="13" bestFit="1" customWidth="1"/>
    <col min="70" max="70" width="9.1640625" bestFit="1" customWidth="1"/>
    <col min="71" max="71" width="10.1640625" bestFit="1" customWidth="1"/>
    <col min="72" max="72" width="14.5" customWidth="1"/>
    <col min="73" max="73" width="11.5" bestFit="1" customWidth="1"/>
    <col min="74" max="74" width="8.5" customWidth="1"/>
    <col min="75" max="75" width="10.5" bestFit="1" customWidth="1"/>
    <col min="76" max="76" width="8.5" customWidth="1"/>
    <col min="77" max="77" width="9" bestFit="1" customWidth="1"/>
    <col min="78" max="78" width="11" bestFit="1" customWidth="1"/>
    <col min="79" max="82" width="8.5" customWidth="1"/>
    <col min="83" max="83" width="0" hidden="1" customWidth="1"/>
    <col min="84" max="16384" width="8.5" hidden="1"/>
  </cols>
  <sheetData>
    <row r="1" spans="1:83" x14ac:dyDescent="0.2">
      <c r="A1" s="1" t="s">
        <v>332</v>
      </c>
      <c r="B1" s="1"/>
      <c r="C1" s="1"/>
      <c r="D1" s="1"/>
      <c r="E1" s="1"/>
      <c r="F1" s="1"/>
      <c r="G1" s="1"/>
      <c r="H1" s="1"/>
      <c r="I1" s="1"/>
      <c r="J1" s="1"/>
      <c r="K1" s="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650"/>
      <c r="AT1" s="650"/>
      <c r="AU1" s="650"/>
      <c r="AV1" s="650"/>
      <c r="AW1" s="650"/>
      <c r="AX1" s="657"/>
      <c r="AY1" s="1"/>
      <c r="AZ1" s="1"/>
      <c r="BA1" s="1"/>
      <c r="BB1" s="1"/>
      <c r="BC1" s="1"/>
      <c r="BD1" s="1"/>
      <c r="BE1" s="1"/>
      <c r="BF1" s="1"/>
      <c r="BG1" s="597"/>
      <c r="BH1" s="1"/>
      <c r="BI1" s="1"/>
      <c r="BJ1" s="1"/>
      <c r="BK1" s="1"/>
      <c r="BL1" s="1"/>
      <c r="BM1" s="25"/>
      <c r="BN1" s="25"/>
      <c r="BO1" s="25"/>
      <c r="BP1" s="1"/>
      <c r="BQ1" s="1"/>
    </row>
    <row r="2" spans="1:83" x14ac:dyDescent="0.2">
      <c r="J2" s="6"/>
      <c r="K2" s="52"/>
      <c r="L2" s="6"/>
      <c r="M2" s="6"/>
    </row>
    <row r="3" spans="1:83" ht="16" x14ac:dyDescent="0.2">
      <c r="A3" s="1" t="s">
        <v>333</v>
      </c>
      <c r="B3" s="71"/>
      <c r="C3" s="2" t="s">
        <v>143</v>
      </c>
      <c r="E3" s="12" t="s">
        <v>334</v>
      </c>
      <c r="F3" s="12"/>
      <c r="G3" s="12"/>
      <c r="H3" s="27" t="s">
        <v>162</v>
      </c>
      <c r="J3" s="1" t="s">
        <v>335</v>
      </c>
      <c r="K3" s="24"/>
      <c r="L3" s="1" t="s">
        <v>162</v>
      </c>
      <c r="M3" s="6"/>
    </row>
    <row r="4" spans="1:83" x14ac:dyDescent="0.2">
      <c r="A4" t="s">
        <v>336</v>
      </c>
      <c r="C4" s="26">
        <v>0.15</v>
      </c>
      <c r="E4" t="s">
        <v>337</v>
      </c>
      <c r="H4" s="50">
        <v>25000000</v>
      </c>
      <c r="J4" t="s">
        <v>338</v>
      </c>
      <c r="K4"/>
      <c r="L4" s="19">
        <f>IF((I30+I39)=0,-H6,0)</f>
        <v>0</v>
      </c>
      <c r="CE4" t="s">
        <v>339</v>
      </c>
    </row>
    <row r="5" spans="1:83" x14ac:dyDescent="0.2">
      <c r="A5" t="s">
        <v>54</v>
      </c>
      <c r="C5" s="26">
        <v>0.5</v>
      </c>
      <c r="E5" t="s">
        <v>340</v>
      </c>
      <c r="H5" s="50">
        <v>20000000</v>
      </c>
      <c r="J5" t="s">
        <v>341</v>
      </c>
      <c r="K5"/>
      <c r="L5" s="3">
        <f>$H$7*(I30+I39)</f>
        <v>0</v>
      </c>
    </row>
    <row r="6" spans="1:83" x14ac:dyDescent="0.2">
      <c r="A6" t="s">
        <v>191</v>
      </c>
      <c r="C6" s="26">
        <v>0.15</v>
      </c>
      <c r="E6" t="s">
        <v>342</v>
      </c>
      <c r="H6" s="50">
        <v>1000000</v>
      </c>
      <c r="J6" s="6" t="s">
        <v>343</v>
      </c>
      <c r="L6">
        <v>120</v>
      </c>
    </row>
    <row r="7" spans="1:83" x14ac:dyDescent="0.2"/>
    <row r="8" spans="1:83" x14ac:dyDescent="0.2">
      <c r="H8" s="282"/>
    </row>
    <row r="9" spans="1:83" x14ac:dyDescent="0.2"/>
    <row r="10" spans="1:83" x14ac:dyDescent="0.2">
      <c r="K10" s="28"/>
    </row>
    <row r="11" spans="1:83" x14ac:dyDescent="0.2">
      <c r="A11" s="36" t="s">
        <v>344</v>
      </c>
      <c r="B11" s="36"/>
      <c r="C11" s="36"/>
      <c r="D11" s="37"/>
      <c r="E11" s="37"/>
      <c r="F11" s="37"/>
      <c r="G11" s="37"/>
      <c r="H11" s="37"/>
      <c r="I11" s="37"/>
      <c r="J11" s="37"/>
      <c r="K11" s="38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651"/>
      <c r="AT11" s="651"/>
      <c r="AU11" s="651"/>
      <c r="AV11" s="651"/>
      <c r="AW11" s="651"/>
      <c r="AX11" s="658"/>
      <c r="AY11" s="39"/>
      <c r="AZ11" s="39"/>
      <c r="BA11" s="39"/>
      <c r="BB11" s="39"/>
      <c r="BC11" s="39"/>
      <c r="BD11" s="39"/>
      <c r="BE11" s="39"/>
      <c r="BF11" s="39"/>
      <c r="BG11" s="598"/>
      <c r="BH11" s="39"/>
      <c r="BI11" s="39"/>
      <c r="BJ11" s="39"/>
      <c r="BK11" s="39"/>
      <c r="BL11" s="39"/>
      <c r="BM11" s="40"/>
      <c r="BN11" s="40"/>
      <c r="BO11" s="40"/>
      <c r="BP11" s="39"/>
      <c r="BQ11" s="39"/>
    </row>
    <row r="12" spans="1:83" x14ac:dyDescent="0.2"/>
    <row r="13" spans="1:83" x14ac:dyDescent="0.2">
      <c r="A13" s="32" t="s">
        <v>345</v>
      </c>
      <c r="B13" s="137"/>
      <c r="C13" s="33" t="s">
        <v>3</v>
      </c>
      <c r="D13" s="33" t="s">
        <v>4</v>
      </c>
      <c r="E13" s="33" t="s">
        <v>5</v>
      </c>
      <c r="F13" s="33" t="s">
        <v>6</v>
      </c>
      <c r="G13" s="33" t="s">
        <v>7</v>
      </c>
      <c r="H13" s="33" t="s">
        <v>8</v>
      </c>
      <c r="I13" s="34" t="s">
        <v>61</v>
      </c>
    </row>
    <row r="14" spans="1:83" x14ac:dyDescent="0.2">
      <c r="A14" t="s">
        <v>62</v>
      </c>
      <c r="C14" s="3">
        <v>120000</v>
      </c>
      <c r="D14" s="3">
        <v>120000</v>
      </c>
      <c r="E14" s="3">
        <v>80000</v>
      </c>
      <c r="F14" s="3">
        <v>80000</v>
      </c>
      <c r="G14" s="3">
        <v>60000</v>
      </c>
      <c r="H14" s="3">
        <v>40000</v>
      </c>
      <c r="I14" s="19">
        <f>SUM(C14:H14)</f>
        <v>500000</v>
      </c>
    </row>
    <row r="15" spans="1:83" x14ac:dyDescent="0.2">
      <c r="A15" t="s">
        <v>63</v>
      </c>
      <c r="C15" s="5" cm="1">
        <f t="array" ref="C15">SUMPRODUCT(--(C25:C45),($J$25:$J$45))</f>
        <v>120000</v>
      </c>
      <c r="D15" s="5" cm="1">
        <f t="array" ref="D15">SUMPRODUCT(--(D25:D45),($J$25:$J$45))</f>
        <v>120000</v>
      </c>
      <c r="E15" s="5" cm="1">
        <f t="array" ref="E15">SUMPRODUCT(--(E25:E45),($J$25:$J$45))</f>
        <v>80000</v>
      </c>
      <c r="F15" s="5" cm="1">
        <f t="array" ref="F15">SUMPRODUCT(--(F25:F45),($J$25:$J$45))</f>
        <v>80000</v>
      </c>
      <c r="G15" s="5" cm="1">
        <f t="array" ref="G15">SUMPRODUCT(--(G25:G45),($J$25:$J$45))</f>
        <v>60000</v>
      </c>
      <c r="H15" s="5" cm="1">
        <f t="array" ref="H15">SUMPRODUCT(--(H25:H45),($J$25:$J$45))</f>
        <v>40000</v>
      </c>
      <c r="I15" s="19">
        <f>SUM(C15:H15)</f>
        <v>500000</v>
      </c>
    </row>
    <row r="16" spans="1:83" x14ac:dyDescent="0.2">
      <c r="A16" s="7" t="s">
        <v>346</v>
      </c>
      <c r="B16" s="120"/>
      <c r="C16" s="35">
        <f t="shared" ref="C16:H16" si="0">C15-C14</f>
        <v>0</v>
      </c>
      <c r="D16" s="35">
        <f t="shared" si="0"/>
        <v>0</v>
      </c>
      <c r="E16" s="35">
        <f t="shared" si="0"/>
        <v>0</v>
      </c>
      <c r="F16" s="35">
        <f t="shared" si="0"/>
        <v>0</v>
      </c>
      <c r="G16" s="35">
        <f t="shared" si="0"/>
        <v>0</v>
      </c>
      <c r="H16" s="35">
        <f t="shared" si="0"/>
        <v>0</v>
      </c>
      <c r="I16" s="30">
        <f>SUM(C16:H16)</f>
        <v>0</v>
      </c>
    </row>
    <row r="17" spans="1:79" x14ac:dyDescent="0.2"/>
    <row r="18" spans="1:79" x14ac:dyDescent="0.2">
      <c r="A18" s="32" t="s">
        <v>347</v>
      </c>
      <c r="B18" s="137"/>
      <c r="C18" s="33" t="s">
        <v>3</v>
      </c>
      <c r="D18" s="33" t="s">
        <v>4</v>
      </c>
      <c r="E18" s="33" t="s">
        <v>5</v>
      </c>
      <c r="F18" s="33" t="s">
        <v>6</v>
      </c>
      <c r="G18" s="33" t="s">
        <v>7</v>
      </c>
      <c r="H18" s="33" t="s">
        <v>8</v>
      </c>
      <c r="I18" s="34" t="s">
        <v>61</v>
      </c>
    </row>
    <row r="19" spans="1:79" x14ac:dyDescent="0.2">
      <c r="A19" t="s">
        <v>66</v>
      </c>
      <c r="C19" s="3">
        <f>C15-C20</f>
        <v>80000</v>
      </c>
      <c r="D19" s="3">
        <f t="shared" ref="D19:H19" si="1">D15-D20</f>
        <v>100000</v>
      </c>
      <c r="E19" s="3">
        <f t="shared" si="1"/>
        <v>65000</v>
      </c>
      <c r="F19" s="3">
        <f t="shared" si="1"/>
        <v>80000</v>
      </c>
      <c r="G19" s="3">
        <f t="shared" si="1"/>
        <v>50000</v>
      </c>
      <c r="H19" s="3">
        <f t="shared" si="1"/>
        <v>40000</v>
      </c>
      <c r="I19" s="19">
        <f t="shared" ref="I19:I20" si="2">SUM(C19:H19)</f>
        <v>415000</v>
      </c>
    </row>
    <row r="20" spans="1:79" x14ac:dyDescent="0.2">
      <c r="A20" t="s">
        <v>67</v>
      </c>
      <c r="C20" s="5" cm="1">
        <f t="array" ref="C20">SUMPRODUCT(--(C25:C45),($K$25:$K$45))</f>
        <v>40000</v>
      </c>
      <c r="D20" s="5" cm="1">
        <f t="array" ref="D20">SUMPRODUCT(--(D25:D45),($K$25:$K$45))</f>
        <v>20000</v>
      </c>
      <c r="E20" s="5" cm="1">
        <f t="array" ref="E20">SUMPRODUCT(--(E25:E45),($K$25:$K$45))</f>
        <v>15000</v>
      </c>
      <c r="F20" s="5" cm="1">
        <f t="array" ref="F20">SUMPRODUCT(--(F25:F45),($K$25:$K$45))</f>
        <v>0</v>
      </c>
      <c r="G20" s="5" cm="1">
        <f t="array" ref="G20">SUMPRODUCT(--(G25:G45),($K$25:$K$45))</f>
        <v>10000</v>
      </c>
      <c r="H20" s="5" cm="1">
        <f t="array" ref="H20">SUMPRODUCT(--(H25:H45),($K$25:$K$45))</f>
        <v>0</v>
      </c>
      <c r="I20" s="19">
        <f t="shared" si="2"/>
        <v>85000</v>
      </c>
    </row>
    <row r="21" spans="1:79" x14ac:dyDescent="0.2">
      <c r="A21" s="7" t="s">
        <v>63</v>
      </c>
      <c r="B21" s="120"/>
      <c r="C21" s="35">
        <f>SUM(C19:C20)</f>
        <v>120000</v>
      </c>
      <c r="D21" s="35">
        <f t="shared" ref="D21:H21" si="3">SUM(D19:D20)</f>
        <v>120000</v>
      </c>
      <c r="E21" s="35">
        <f t="shared" si="3"/>
        <v>80000</v>
      </c>
      <c r="F21" s="35">
        <f t="shared" si="3"/>
        <v>80000</v>
      </c>
      <c r="G21" s="35">
        <f t="shared" si="3"/>
        <v>60000</v>
      </c>
      <c r="H21" s="35">
        <f t="shared" si="3"/>
        <v>40000</v>
      </c>
      <c r="I21" s="30">
        <f>SUM(C21:H21)</f>
        <v>500000</v>
      </c>
    </row>
    <row r="22" spans="1:79" x14ac:dyDescent="0.2"/>
    <row r="23" spans="1:79" x14ac:dyDescent="0.2">
      <c r="A23" s="22" t="s">
        <v>348</v>
      </c>
      <c r="B23" s="22"/>
      <c r="C23" s="53"/>
      <c r="D23" s="53"/>
      <c r="E23" s="53"/>
      <c r="F23" s="53"/>
      <c r="G23" s="53"/>
      <c r="H23" s="53"/>
      <c r="I23" s="53"/>
      <c r="J23" s="6"/>
      <c r="K23" s="6"/>
      <c r="L23" s="6"/>
      <c r="M23" s="6" t="s">
        <v>349</v>
      </c>
      <c r="N23" s="6"/>
      <c r="O23" s="6"/>
      <c r="P23" s="6"/>
      <c r="Q23" s="6"/>
      <c r="R23" s="6"/>
      <c r="S23" s="6"/>
      <c r="T23" s="6"/>
      <c r="U23" s="6"/>
      <c r="V23" s="6" t="s">
        <v>350</v>
      </c>
      <c r="W23" s="6"/>
      <c r="X23" s="6"/>
      <c r="Y23" s="6"/>
      <c r="Z23" s="6"/>
      <c r="AA23" s="6" t="s">
        <v>12</v>
      </c>
      <c r="AB23" s="6"/>
      <c r="AC23" s="6"/>
      <c r="AD23" s="6"/>
      <c r="AE23" s="6" t="s">
        <v>176</v>
      </c>
      <c r="AF23" s="6"/>
      <c r="AG23" s="6"/>
      <c r="AH23" s="6"/>
      <c r="AI23" s="6"/>
      <c r="AJ23" s="6"/>
      <c r="AK23" s="6"/>
      <c r="AL23" s="6"/>
      <c r="AM23" s="6"/>
      <c r="AN23" s="6" t="s">
        <v>206</v>
      </c>
      <c r="AO23" s="6"/>
      <c r="AP23" s="6"/>
      <c r="AR23" s="6"/>
      <c r="AS23" s="652" t="s">
        <v>351</v>
      </c>
      <c r="AT23" s="652"/>
      <c r="AU23" s="652"/>
      <c r="AV23" s="652"/>
      <c r="AW23" s="652"/>
      <c r="AX23" s="659"/>
      <c r="AY23" s="6" t="s">
        <v>352</v>
      </c>
      <c r="AZ23" s="6"/>
      <c r="BA23" s="6"/>
      <c r="BB23" s="6"/>
      <c r="BC23" s="6"/>
      <c r="BD23" s="6"/>
      <c r="BE23" s="6"/>
      <c r="BF23" s="6" t="s">
        <v>353</v>
      </c>
      <c r="BG23" s="6"/>
      <c r="BH23" s="599"/>
      <c r="BJ23" s="6"/>
      <c r="BK23" s="6"/>
      <c r="BL23" s="6"/>
      <c r="BM23" s="6"/>
      <c r="BN23" s="6"/>
      <c r="BO23" s="6"/>
      <c r="BP23" s="6" t="s">
        <v>354</v>
      </c>
      <c r="BQ23" s="6"/>
      <c r="BR23" s="6"/>
      <c r="BS23" s="6"/>
      <c r="BT23" s="54"/>
      <c r="BU23" s="54"/>
      <c r="BV23" s="54"/>
      <c r="BW23" s="6"/>
      <c r="BX23" s="6"/>
      <c r="BY23" s="6" t="s">
        <v>355</v>
      </c>
      <c r="BZ23" s="6"/>
      <c r="CA23" s="54"/>
    </row>
    <row r="24" spans="1:79" ht="45.75" customHeight="1" x14ac:dyDescent="0.2">
      <c r="A24" s="526" t="s">
        <v>356</v>
      </c>
      <c r="B24" s="526" t="s">
        <v>357</v>
      </c>
      <c r="C24" s="41" t="s">
        <v>3</v>
      </c>
      <c r="D24" s="41" t="s">
        <v>4</v>
      </c>
      <c r="E24" s="41" t="s">
        <v>5</v>
      </c>
      <c r="F24" s="41" t="s">
        <v>6</v>
      </c>
      <c r="G24" s="41" t="s">
        <v>7</v>
      </c>
      <c r="H24" s="41" t="s">
        <v>8</v>
      </c>
      <c r="I24" s="184" t="s">
        <v>358</v>
      </c>
      <c r="J24" s="527" t="s">
        <v>359</v>
      </c>
      <c r="K24" s="527" t="s">
        <v>67</v>
      </c>
      <c r="L24" s="527" t="s">
        <v>265</v>
      </c>
      <c r="M24" s="528" t="s">
        <v>24</v>
      </c>
      <c r="N24" s="528" t="s">
        <v>360</v>
      </c>
      <c r="O24" s="528" t="s">
        <v>361</v>
      </c>
      <c r="P24" s="528" t="s">
        <v>34</v>
      </c>
      <c r="Q24" s="528" t="s">
        <v>44</v>
      </c>
      <c r="R24" s="528" t="s">
        <v>362</v>
      </c>
      <c r="S24" s="528" t="s">
        <v>98</v>
      </c>
      <c r="T24" s="528" t="s">
        <v>54</v>
      </c>
      <c r="U24" s="528" t="s">
        <v>363</v>
      </c>
      <c r="V24" s="529" t="s">
        <v>221</v>
      </c>
      <c r="W24" s="529" t="s">
        <v>54</v>
      </c>
      <c r="X24" s="529" t="s">
        <v>364</v>
      </c>
      <c r="Y24" s="529" t="s">
        <v>219</v>
      </c>
      <c r="Z24" s="529" t="s">
        <v>365</v>
      </c>
      <c r="AA24" s="530" t="s">
        <v>366</v>
      </c>
      <c r="AB24" s="530" t="s">
        <v>367</v>
      </c>
      <c r="AC24" s="530" t="s">
        <v>221</v>
      </c>
      <c r="AD24" s="530" t="s">
        <v>61</v>
      </c>
      <c r="AE24" s="531" t="s">
        <v>24</v>
      </c>
      <c r="AF24" s="531" t="s">
        <v>360</v>
      </c>
      <c r="AG24" s="531" t="s">
        <v>361</v>
      </c>
      <c r="AH24" s="531" t="s">
        <v>34</v>
      </c>
      <c r="AI24" s="531" t="s">
        <v>44</v>
      </c>
      <c r="AJ24" s="531" t="s">
        <v>362</v>
      </c>
      <c r="AK24" s="531" t="s">
        <v>98</v>
      </c>
      <c r="AL24" s="531" t="s">
        <v>54</v>
      </c>
      <c r="AM24" s="531" t="s">
        <v>368</v>
      </c>
      <c r="AN24" s="532" t="s">
        <v>369</v>
      </c>
      <c r="AO24" s="532" t="s">
        <v>370</v>
      </c>
      <c r="AP24" s="532" t="s">
        <v>371</v>
      </c>
      <c r="AQ24" s="532" t="s">
        <v>372</v>
      </c>
      <c r="AR24" s="533" t="s">
        <v>67</v>
      </c>
      <c r="AS24" s="654" t="s">
        <v>24</v>
      </c>
      <c r="AT24" s="654" t="s">
        <v>360</v>
      </c>
      <c r="AU24" s="654" t="s">
        <v>361</v>
      </c>
      <c r="AV24" s="654" t="s">
        <v>34</v>
      </c>
      <c r="AW24" s="654" t="s">
        <v>44</v>
      </c>
      <c r="AX24" s="660" t="s">
        <v>362</v>
      </c>
      <c r="AY24" s="534" t="s">
        <v>24</v>
      </c>
      <c r="AZ24" s="534" t="s">
        <v>360</v>
      </c>
      <c r="BA24" s="534" t="s">
        <v>361</v>
      </c>
      <c r="BB24" s="534" t="s">
        <v>34</v>
      </c>
      <c r="BC24" s="534" t="s">
        <v>44</v>
      </c>
      <c r="BD24" s="534" t="s">
        <v>362</v>
      </c>
      <c r="BE24" s="534" t="s">
        <v>275</v>
      </c>
      <c r="BF24" s="207" t="s">
        <v>373</v>
      </c>
      <c r="BG24" s="207" t="s">
        <v>374</v>
      </c>
      <c r="BH24" s="600" t="s">
        <v>375</v>
      </c>
      <c r="BI24" s="207" t="s">
        <v>376</v>
      </c>
      <c r="BJ24" s="207" t="s">
        <v>377</v>
      </c>
      <c r="BK24" s="207" t="s">
        <v>378</v>
      </c>
      <c r="BL24" s="207" t="s">
        <v>379</v>
      </c>
      <c r="BM24" s="207" t="s">
        <v>380</v>
      </c>
      <c r="BN24" s="207" t="s">
        <v>381</v>
      </c>
      <c r="BO24" s="207" t="s">
        <v>382</v>
      </c>
      <c r="BP24" s="535" t="s">
        <v>383</v>
      </c>
      <c r="BQ24" s="535" t="s">
        <v>384</v>
      </c>
      <c r="BR24" s="535" t="s">
        <v>385</v>
      </c>
      <c r="BS24" s="535" t="s">
        <v>386</v>
      </c>
      <c r="BT24" s="42" t="s">
        <v>387</v>
      </c>
      <c r="BU24" s="42" t="s">
        <v>388</v>
      </c>
      <c r="BV24" s="42" t="s">
        <v>389</v>
      </c>
      <c r="BW24" s="535" t="s">
        <v>390</v>
      </c>
      <c r="BX24" s="535" t="s">
        <v>391</v>
      </c>
      <c r="BY24" s="536" t="s">
        <v>392</v>
      </c>
      <c r="BZ24" s="536" t="s">
        <v>393</v>
      </c>
      <c r="CA24" s="536" t="s">
        <v>394</v>
      </c>
    </row>
    <row r="25" spans="1:79" x14ac:dyDescent="0.2">
      <c r="A25" t="s">
        <v>10</v>
      </c>
      <c r="B25" t="s">
        <v>14</v>
      </c>
      <c r="C25" s="89">
        <f>'Block Builder'!C6</f>
        <v>0</v>
      </c>
      <c r="D25" s="89">
        <f>'Block Builder'!D6</f>
        <v>3</v>
      </c>
      <c r="E25" s="89">
        <f>'Block Builder'!E6</f>
        <v>3</v>
      </c>
      <c r="F25" s="89">
        <f>'Block Builder'!F6</f>
        <v>0</v>
      </c>
      <c r="G25" s="89">
        <f>'Block Builder'!G6</f>
        <v>0</v>
      </c>
      <c r="H25" s="89">
        <f>'Block Builder'!H6</f>
        <v>3</v>
      </c>
      <c r="I25" s="185">
        <f t="shared" ref="I25:I45" si="4">SUM(C25:H25)</f>
        <v>9</v>
      </c>
      <c r="J25" s="3" cm="1">
        <f t="array" ref="J25">SUMPRODUCT(--('Building Summary'!$A$2:$A$23=Model!$B25),('Building Summary'!$P$2:$P$23))</f>
        <v>10000</v>
      </c>
      <c r="K25" s="3" cm="1">
        <f t="array" ref="K25">SUMPRODUCT(--('Building Summary'!$A$2:$A$23=Model!$B25),('Building Summary'!$R$2:$R$23))</f>
        <v>0</v>
      </c>
      <c r="L25" s="19" cm="1">
        <f t="array" ref="L25">$I25*SUMPRODUCT(--(sBuilding=B25),(sBuilding_Cost))</f>
        <v>29340000</v>
      </c>
      <c r="M25" s="3"/>
      <c r="N25" s="187">
        <f t="shared" ref="N25:O27" si="5">IF($L25&gt;0,$L25*(AF25/$AM25),0)</f>
        <v>27873000</v>
      </c>
      <c r="O25" s="187">
        <f t="shared" si="5"/>
        <v>1467000.0000000002</v>
      </c>
      <c r="P25" s="3"/>
      <c r="Q25" s="3"/>
      <c r="R25" s="3"/>
      <c r="S25" s="3"/>
      <c r="T25" s="3"/>
      <c r="U25" s="3">
        <f t="shared" ref="U25:U42" si="6">SUM(M25:T25)-L25</f>
        <v>0</v>
      </c>
      <c r="V25" s="19">
        <f t="shared" ref="V25:V45" si="7">ROUND(IFERROR(AG25/AM25,0)*$C$4*L25,-3)</f>
        <v>220000</v>
      </c>
      <c r="W25" s="19"/>
      <c r="X25" s="19"/>
      <c r="Y25" s="19">
        <f t="shared" ref="Y25:Y45" si="8">SUM(V25:X25)</f>
        <v>220000</v>
      </c>
      <c r="Z25" s="29">
        <f t="shared" ref="Z25:Z45" si="9">IFERROR(SUM(V25:X25)/L25,0)</f>
        <v>7.498295841854124E-3</v>
      </c>
      <c r="AA25" s="31">
        <f>'Use Allocation'!$E$5</f>
        <v>0.05</v>
      </c>
      <c r="AB25" s="19">
        <f t="shared" ref="AB25:AB41" si="10">AD25-AC25</f>
        <v>68</v>
      </c>
      <c r="AC25" s="19">
        <f t="shared" ref="AC25" si="11">ROUND(AD25*AA25,0)</f>
        <v>4</v>
      </c>
      <c r="AD25" s="21" cm="1">
        <f t="array" ref="AD25">I25*SUMPRODUCT(--(sBuilding=$B25),(sResiUnitCount))</f>
        <v>72</v>
      </c>
      <c r="AE25" s="3" cm="1">
        <f t="array" ref="AE25">$I25*SUMPRODUCT(--(sBuilding=$B25),(sOfficeSF))</f>
        <v>0</v>
      </c>
      <c r="AF25" s="3" cm="1">
        <f t="array" ref="AF25">(1-AA25)*$I25*SUMPRODUCT(--(sBuilding=$B25),(sResiSF))</f>
        <v>170999.99999999997</v>
      </c>
      <c r="AG25" s="3" cm="1">
        <f t="array" ref="AG25">AA25*$I25*SUMPRODUCT(--(sBuilding=$B25),(sResiSF))</f>
        <v>9000</v>
      </c>
      <c r="AH25" s="3" cm="1">
        <f t="array" ref="AH25">$I25*SUMPRODUCT(--(sBuilding=$B25),(sRetailSF))</f>
        <v>0</v>
      </c>
      <c r="AI25" s="3" cm="1">
        <f t="array" ref="AI25">$I25*SUMPRODUCT(--(sBuilding=$B25),(sCommunitySF))</f>
        <v>0</v>
      </c>
      <c r="AJ25" s="3" cm="1">
        <f t="array" ref="AJ25">$I25*SUMPRODUCT(--(sBuilding=$B25),(sCommunity_Commercial_SF))</f>
        <v>0</v>
      </c>
      <c r="AK25" s="3" cm="1">
        <f t="array" ref="AK25">$I25*SUMPRODUCT(--(sBuilding=$B25),(sShelter_SF))</f>
        <v>0</v>
      </c>
      <c r="AL25" s="3" cm="1">
        <f t="array" ref="AL25">$I25*SUMPRODUCT(--(sBuilding=$B25),(sOpenSpace))</f>
        <v>0</v>
      </c>
      <c r="AM25" s="19">
        <f t="shared" ref="AM25:AM41" si="12">SUM(AE25:AK25)</f>
        <v>179999.99999999997</v>
      </c>
      <c r="AN25" s="19" cm="1">
        <f t="array" ref="AN25">$I25*SUMPRODUCT(--(sBuilding=$B25),(sParking_Surface))</f>
        <v>0</v>
      </c>
      <c r="AO25" s="19" cm="1">
        <f t="array" ref="AO25">$I25*SUMPRODUCT(--(sBuilding=$B25),(sParking_Structured))</f>
        <v>144</v>
      </c>
      <c r="AP25" s="19" cm="1">
        <f t="array" ref="AP25">$I25*SUMPRODUCT(--(sBuilding=$B25),(sParking_Subterranean))</f>
        <v>0</v>
      </c>
      <c r="AQ25" s="3" cm="1">
        <f t="array" ref="AQ25">$I25*SUMPRODUCT(--(sBuilding=$B25),(sParking_TotalUnits))</f>
        <v>144</v>
      </c>
      <c r="AR25" s="3" cm="1">
        <f t="array" ref="AR25">$I25*SUMPRODUCT(--(sBuilding=$B25),(sParking_Footprint))</f>
        <v>0</v>
      </c>
      <c r="AS25" s="645"/>
      <c r="AT25" s="645">
        <v>1.3</v>
      </c>
      <c r="AU25" s="645">
        <v>0.4</v>
      </c>
      <c r="AV25" s="645">
        <v>1.3</v>
      </c>
      <c r="AW25" s="645"/>
      <c r="AX25" s="645"/>
      <c r="AY25" s="3"/>
      <c r="AZ25" s="3">
        <f t="shared" ref="AZ25:BD27" si="13">ROUND(N25*AT25,-3)</f>
        <v>36235000</v>
      </c>
      <c r="BA25" s="3">
        <f t="shared" si="13"/>
        <v>587000</v>
      </c>
      <c r="BB25" s="3">
        <f t="shared" si="13"/>
        <v>0</v>
      </c>
      <c r="BC25" s="3">
        <f t="shared" si="13"/>
        <v>0</v>
      </c>
      <c r="BD25" s="3">
        <f t="shared" si="13"/>
        <v>0</v>
      </c>
      <c r="BE25" s="19">
        <f t="shared" ref="BE25:BE45" si="14">SUM(AY25:BD25)</f>
        <v>36822000</v>
      </c>
      <c r="BF25" s="595">
        <v>1</v>
      </c>
      <c r="BG25" s="596">
        <v>0.3</v>
      </c>
      <c r="BH25" s="29"/>
      <c r="BI25" s="29"/>
      <c r="BJ25" s="29">
        <f>Market!$H$9*$BF25*(1-(1/(1+$BG25)))</f>
        <v>0</v>
      </c>
      <c r="BK25" s="29"/>
      <c r="BL25" s="3">
        <f>ROUND(BI25*AY25,-3)</f>
        <v>0</v>
      </c>
      <c r="BM25" s="3">
        <f>ROUND(BJ25*AZ25,-3)</f>
        <v>0</v>
      </c>
      <c r="BN25" s="3">
        <f>ROUND(BK25*BB25,-3)</f>
        <v>0</v>
      </c>
      <c r="BO25" s="3">
        <f t="shared" ref="BO25:BO45" si="15">SUM(BL25:BN25)</f>
        <v>0</v>
      </c>
      <c r="BP25" s="537"/>
      <c r="BQ25" s="538">
        <f t="shared" ref="BQ25:BQ27" si="16">0.0075*0.83</f>
        <v>6.2249999999999996E-3</v>
      </c>
      <c r="BR25" s="3">
        <v>0</v>
      </c>
      <c r="BS25" s="538">
        <v>0.02</v>
      </c>
      <c r="BT25" s="4"/>
      <c r="BU25" s="3"/>
      <c r="BV25" s="3">
        <f>ROUND(BQ25*AZ25,-3)</f>
        <v>226000</v>
      </c>
      <c r="BW25" s="3">
        <f>ROUND(BS25*BB25,-3)</f>
        <v>0</v>
      </c>
      <c r="BX25" s="3">
        <f t="shared" ref="BX25:BX41" si="17">SUM(BT25:BW25)</f>
        <v>226000</v>
      </c>
      <c r="CA25" s="3">
        <f t="shared" ref="CA25:CA42" si="18">BR25*AC25</f>
        <v>0</v>
      </c>
    </row>
    <row r="26" spans="1:79" x14ac:dyDescent="0.2">
      <c r="A26" t="s">
        <v>10</v>
      </c>
      <c r="B26" t="s">
        <v>16</v>
      </c>
      <c r="C26" s="89">
        <f>'Block Builder'!C7</f>
        <v>0</v>
      </c>
      <c r="D26" s="89">
        <f>'Block Builder'!D7</f>
        <v>0</v>
      </c>
      <c r="E26" s="89">
        <f>'Block Builder'!E7</f>
        <v>0</v>
      </c>
      <c r="F26" s="89">
        <f>'Block Builder'!F7</f>
        <v>2</v>
      </c>
      <c r="G26" s="89">
        <f>'Block Builder'!G7</f>
        <v>0</v>
      </c>
      <c r="H26" s="89">
        <f>'Block Builder'!H7</f>
        <v>0</v>
      </c>
      <c r="I26" s="185">
        <f>SUM(C26:H26)</f>
        <v>2</v>
      </c>
      <c r="J26" s="3" cm="1">
        <f t="array" ref="J26">SUMPRODUCT(--('Building Summary'!$A$2:$A$23=Model!$B26),('Building Summary'!$P$2:$P$23))</f>
        <v>20000</v>
      </c>
      <c r="K26" s="3" cm="1">
        <f t="array" ref="K26">SUMPRODUCT(--('Building Summary'!$A$2:$A$23=Model!$B26),('Building Summary'!$R$2:$R$23))</f>
        <v>0</v>
      </c>
      <c r="L26" s="19" cm="1">
        <f t="array" ref="L26">$I26*SUMPRODUCT(--(sBuilding=B26),(sBuilding_Cost))</f>
        <v>25200000</v>
      </c>
      <c r="M26" s="3"/>
      <c r="N26" s="187">
        <f t="shared" si="5"/>
        <v>20160000</v>
      </c>
      <c r="O26" s="187">
        <f t="shared" si="5"/>
        <v>5040000</v>
      </c>
      <c r="P26" s="3"/>
      <c r="Q26" s="3"/>
      <c r="R26" s="3"/>
      <c r="S26" s="3"/>
      <c r="T26" s="3"/>
      <c r="U26" s="3">
        <f t="shared" si="6"/>
        <v>0</v>
      </c>
      <c r="V26" s="19">
        <f t="shared" si="7"/>
        <v>756000</v>
      </c>
      <c r="W26" s="19"/>
      <c r="X26" s="19"/>
      <c r="Y26" s="19">
        <f>SUM(V26:X26)</f>
        <v>756000</v>
      </c>
      <c r="Z26" s="29">
        <f t="shared" si="9"/>
        <v>0.03</v>
      </c>
      <c r="AA26" s="31">
        <f>'Use Allocation'!$E$6</f>
        <v>0.2</v>
      </c>
      <c r="AB26" s="19">
        <f>AD26-AC26</f>
        <v>96</v>
      </c>
      <c r="AC26" s="19">
        <f>ROUND(AD26*AA26,0)</f>
        <v>24</v>
      </c>
      <c r="AD26" s="21" cm="1">
        <f t="array" ref="AD26">I26*SUMPRODUCT(--(sBuilding=$B26),(sResiUnitCount))</f>
        <v>120</v>
      </c>
      <c r="AE26" s="3" cm="1">
        <f t="array" ref="AE26">$I26*SUMPRODUCT(--(sBuilding=$B26),(sOfficeSF))</f>
        <v>0</v>
      </c>
      <c r="AF26" s="3" cm="1">
        <f t="array" ref="AF26">(1-AA26)*$I26*SUMPRODUCT(--(sBuilding=$B26),(sResiSF))</f>
        <v>128000</v>
      </c>
      <c r="AG26" s="3" cm="1">
        <f t="array" ref="AG26">AA26*$I26*SUMPRODUCT(--(sBuilding=$B26),(sResiSF))</f>
        <v>32000</v>
      </c>
      <c r="AH26" s="3" cm="1">
        <f t="array" ref="AH26">$I26*SUMPRODUCT(--(sBuilding=$B26),(sRetailSF))</f>
        <v>0</v>
      </c>
      <c r="AI26" s="3" cm="1">
        <f t="array" ref="AI26">$I26*SUMPRODUCT(--(sBuilding=$B26),(sCommunitySF))</f>
        <v>0</v>
      </c>
      <c r="AJ26" s="3" cm="1">
        <f t="array" ref="AJ26">$I26*SUMPRODUCT(--(sBuilding=$B26),(sCommunity_Commercial_SF))</f>
        <v>0</v>
      </c>
      <c r="AK26" s="3" cm="1">
        <f t="array" ref="AK26">$I26*SUMPRODUCT(--(sBuilding=$B26),(sShelter_SF))</f>
        <v>0</v>
      </c>
      <c r="AL26" s="3" cm="1">
        <f t="array" ref="AL26">$I26*SUMPRODUCT(--(sBuilding=$B26),(sOpenSpace))</f>
        <v>0</v>
      </c>
      <c r="AM26" s="19">
        <f>SUM(AE26:AK26)</f>
        <v>160000</v>
      </c>
      <c r="AN26" s="19" cm="1">
        <f t="array" ref="AN26">$I26*SUMPRODUCT(--(sBuilding=$B26),(sParking_Surface))</f>
        <v>0</v>
      </c>
      <c r="AO26" s="19" cm="1">
        <f t="array" ref="AO26">$I26*SUMPRODUCT(--(sBuilding=$B26),(sParking_Structured))</f>
        <v>102</v>
      </c>
      <c r="AP26" s="19" cm="1">
        <f t="array" ref="AP26">$I26*SUMPRODUCT(--(sBuilding=$B26),(sParking_Subterranean))</f>
        <v>0</v>
      </c>
      <c r="AQ26" s="3" cm="1">
        <f t="array" ref="AQ26">$I26*SUMPRODUCT(--(sBuilding=$B26),(sParking_TotalUnits))</f>
        <v>102</v>
      </c>
      <c r="AR26" s="3" cm="1">
        <f t="array" ref="AR26">$I26*SUMPRODUCT(--(sBuilding=$B26),(sParking_Footprint))</f>
        <v>0</v>
      </c>
      <c r="AS26" s="645"/>
      <c r="AT26" s="645">
        <v>1.32</v>
      </c>
      <c r="AU26" s="645">
        <v>0.4</v>
      </c>
      <c r="AV26" s="645">
        <v>1.3</v>
      </c>
      <c r="AW26" s="645"/>
      <c r="AX26" s="645"/>
      <c r="AY26" s="3"/>
      <c r="AZ26" s="3">
        <f t="shared" si="13"/>
        <v>26611000</v>
      </c>
      <c r="BA26" s="3">
        <f t="shared" si="13"/>
        <v>2016000</v>
      </c>
      <c r="BB26" s="3">
        <f t="shared" si="13"/>
        <v>0</v>
      </c>
      <c r="BC26" s="3">
        <f t="shared" si="13"/>
        <v>0</v>
      </c>
      <c r="BD26" s="3">
        <f t="shared" si="13"/>
        <v>0</v>
      </c>
      <c r="BE26" s="19">
        <f t="shared" si="14"/>
        <v>28627000</v>
      </c>
      <c r="BF26" s="595">
        <v>1</v>
      </c>
      <c r="BG26" s="596">
        <v>0.32</v>
      </c>
      <c r="BH26" s="29"/>
      <c r="BI26" s="29"/>
      <c r="BJ26" s="29">
        <f>Market!$H$10*$BF26*(1-(1/(1+$BG26)))</f>
        <v>0</v>
      </c>
      <c r="BK26" s="29"/>
      <c r="BL26" s="3">
        <f t="shared" ref="BL26:BM38" si="19">ROUND(BI26*AY26,-3)</f>
        <v>0</v>
      </c>
      <c r="BM26" s="3">
        <f t="shared" ref="BM26:BM27" si="20">ROUND(BJ26*AZ26,-3)</f>
        <v>0</v>
      </c>
      <c r="BN26" s="3">
        <f t="shared" ref="BN26:BN38" si="21">ROUND(BK26*BB26,-3)</f>
        <v>0</v>
      </c>
      <c r="BO26" s="3">
        <f>SUM(BL26:BN26)</f>
        <v>0</v>
      </c>
      <c r="BP26" s="537"/>
      <c r="BQ26" s="538">
        <f>0.0075*0.83</f>
        <v>6.2249999999999996E-3</v>
      </c>
      <c r="BR26" s="3">
        <v>0</v>
      </c>
      <c r="BS26" s="538">
        <v>0.02</v>
      </c>
      <c r="BT26" s="4"/>
      <c r="BU26" s="3"/>
      <c r="BV26" s="3">
        <f>ROUND(BQ26*AZ26,-3)</f>
        <v>166000</v>
      </c>
      <c r="BW26" s="3">
        <f>ROUND(BS26*BB26,-3)</f>
        <v>0</v>
      </c>
      <c r="BX26" s="3">
        <f>SUM(BT26:BW26)</f>
        <v>166000</v>
      </c>
      <c r="CA26" s="3">
        <f t="shared" si="18"/>
        <v>0</v>
      </c>
    </row>
    <row r="27" spans="1:79" x14ac:dyDescent="0.2">
      <c r="A27" t="s">
        <v>10</v>
      </c>
      <c r="B27" t="s">
        <v>181</v>
      </c>
      <c r="C27" s="89">
        <f>'Block Builder'!C8</f>
        <v>0</v>
      </c>
      <c r="D27" s="89">
        <f>'Block Builder'!D8</f>
        <v>1</v>
      </c>
      <c r="E27" s="89">
        <f>'Block Builder'!E8</f>
        <v>0</v>
      </c>
      <c r="F27" s="89">
        <f>'Block Builder'!F8</f>
        <v>0</v>
      </c>
      <c r="G27" s="89">
        <f>'Block Builder'!G8</f>
        <v>0</v>
      </c>
      <c r="H27" s="89">
        <f>'Block Builder'!H8</f>
        <v>0</v>
      </c>
      <c r="I27" s="185">
        <f>SUM(C27:H27)</f>
        <v>1</v>
      </c>
      <c r="J27" s="3" cm="1">
        <f t="array" ref="J27">SUMPRODUCT(--('Building Summary'!$A$2:$A$23=Model!$B27),('Building Summary'!$P$2:$P$23))</f>
        <v>20000</v>
      </c>
      <c r="K27" s="3" cm="1">
        <f t="array" ref="K27">SUMPRODUCT(--('Building Summary'!$A$2:$A$23=Model!$B27),('Building Summary'!$R$2:$R$23))</f>
        <v>0</v>
      </c>
      <c r="L27" s="19" cm="1">
        <f t="array" ref="L27">$I27*SUMPRODUCT(--(sBuilding=B27),(sBuilding_Cost))</f>
        <v>16987500</v>
      </c>
      <c r="M27" s="188"/>
      <c r="N27" s="187">
        <f t="shared" si="5"/>
        <v>12790588.235294117</v>
      </c>
      <c r="O27" s="187">
        <f t="shared" si="5"/>
        <v>3197647.0588235292</v>
      </c>
      <c r="P27" s="187">
        <f>IF($L27&gt;0,$L27*(AH27/$AM27),0)</f>
        <v>999264.70588235289</v>
      </c>
      <c r="Q27" s="188"/>
      <c r="R27" s="188"/>
      <c r="S27" s="188"/>
      <c r="T27" s="188"/>
      <c r="U27" s="3">
        <f t="shared" si="6"/>
        <v>0</v>
      </c>
      <c r="V27" s="19">
        <f t="shared" si="7"/>
        <v>480000</v>
      </c>
      <c r="W27" s="19"/>
      <c r="X27" s="19"/>
      <c r="Y27" s="19">
        <f>SUM(V27:X27)</f>
        <v>480000</v>
      </c>
      <c r="Z27" s="29">
        <f t="shared" si="9"/>
        <v>2.82560706401766E-2</v>
      </c>
      <c r="AA27" s="31">
        <f>'Use Allocation'!$E$6</f>
        <v>0.2</v>
      </c>
      <c r="AB27" s="19">
        <f>AD27-AC27</f>
        <v>48</v>
      </c>
      <c r="AC27" s="19">
        <f>ROUND(AD27*AA27,0)</f>
        <v>12</v>
      </c>
      <c r="AD27" s="21" cm="1">
        <f t="array" ref="AD27">I27*SUMPRODUCT(--(sBuilding=$B27),(sResiUnitCount))</f>
        <v>60</v>
      </c>
      <c r="AE27" s="3" cm="1">
        <f t="array" ref="AE27">$I27*SUMPRODUCT(--(sBuilding=$B27),(sOfficeSF))</f>
        <v>0</v>
      </c>
      <c r="AF27" s="3" cm="1">
        <f t="array" ref="AF27">(1-AA27)*$I27*SUMPRODUCT(--(sBuilding=$B27),(sResiSF))</f>
        <v>64000</v>
      </c>
      <c r="AG27" s="3" cm="1">
        <f t="array" ref="AG27">AA27*$I27*SUMPRODUCT(--(sBuilding=$B27),(sResiSF))</f>
        <v>16000</v>
      </c>
      <c r="AH27" s="3" cm="1">
        <f t="array" ref="AH27">$I27*SUMPRODUCT(--(sBuilding=$B27),(sRetailSF))</f>
        <v>5000</v>
      </c>
      <c r="AI27" s="3" cm="1">
        <f t="array" ref="AI27">$I27*SUMPRODUCT(--(sBuilding=$B27),(sCommunitySF))</f>
        <v>0</v>
      </c>
      <c r="AJ27" s="3" cm="1">
        <f t="array" ref="AJ27">$I27*SUMPRODUCT(--(sBuilding=$B27),(sCommunity_Commercial_SF))</f>
        <v>0</v>
      </c>
      <c r="AK27" s="3" cm="1">
        <f t="array" ref="AK27">$I27*SUMPRODUCT(--(sBuilding=$B27),(sShelter_SF))</f>
        <v>0</v>
      </c>
      <c r="AL27" s="3" cm="1">
        <f t="array" ref="AL27">$I27*SUMPRODUCT(--(sBuilding=$B27),(sOpenSpace))</f>
        <v>0</v>
      </c>
      <c r="AM27" s="19">
        <f>SUM(AE27:AK27)</f>
        <v>85000</v>
      </c>
      <c r="AN27" s="19" cm="1">
        <f t="array" ref="AN27">$I27*SUMPRODUCT(--(sBuilding=$B27),(sParking_Surface))</f>
        <v>13</v>
      </c>
      <c r="AO27" s="19" cm="1">
        <f t="array" ref="AO27">$I27*SUMPRODUCT(--(sBuilding=$B27),(sParking_Structured))</f>
        <v>0</v>
      </c>
      <c r="AP27" s="19" cm="1">
        <f t="array" ref="AP27">$I27*SUMPRODUCT(--(sBuilding=$B27),(sParking_Subterranean))</f>
        <v>53</v>
      </c>
      <c r="AQ27" s="3" cm="1">
        <f t="array" ref="AQ27">$I27*SUMPRODUCT(--(sBuilding=$B27),(sParking_TotalUnits))</f>
        <v>66</v>
      </c>
      <c r="AR27" s="3" cm="1">
        <f t="array" ref="AR27">$I27*SUMPRODUCT(--(sBuilding=$B27),(sParking_Footprint))</f>
        <v>0</v>
      </c>
      <c r="AS27" s="645"/>
      <c r="AT27" s="655">
        <f>AT26*0.97</f>
        <v>1.2804</v>
      </c>
      <c r="AU27" s="645">
        <v>0.4</v>
      </c>
      <c r="AV27" s="655">
        <f>AV26*0.97</f>
        <v>1.2609999999999999</v>
      </c>
      <c r="AW27" s="645"/>
      <c r="AX27" s="645"/>
      <c r="AY27" s="3"/>
      <c r="AZ27" s="3">
        <f t="shared" si="13"/>
        <v>16377000</v>
      </c>
      <c r="BA27" s="3">
        <f t="shared" si="13"/>
        <v>1279000</v>
      </c>
      <c r="BB27" s="3">
        <f t="shared" si="13"/>
        <v>1260000</v>
      </c>
      <c r="BC27" s="3">
        <f t="shared" si="13"/>
        <v>0</v>
      </c>
      <c r="BD27" s="3">
        <f t="shared" si="13"/>
        <v>0</v>
      </c>
      <c r="BE27" s="19">
        <f t="shared" si="14"/>
        <v>18916000</v>
      </c>
      <c r="BF27" s="595">
        <v>1</v>
      </c>
      <c r="BG27" s="596">
        <v>0.32</v>
      </c>
      <c r="BH27" s="29"/>
      <c r="BI27" s="29"/>
      <c r="BJ27" s="29">
        <f>Market!$H$10*$BF27*(1-(1/(1+$BG27)))</f>
        <v>0</v>
      </c>
      <c r="BK27" s="29"/>
      <c r="BL27" s="3">
        <f t="shared" si="19"/>
        <v>0</v>
      </c>
      <c r="BM27" s="3">
        <f t="shared" si="20"/>
        <v>0</v>
      </c>
      <c r="BN27" s="3">
        <f t="shared" si="21"/>
        <v>0</v>
      </c>
      <c r="BO27" s="3">
        <f>SUM(BL27:BN27)</f>
        <v>0</v>
      </c>
      <c r="BP27" s="537"/>
      <c r="BQ27" s="538">
        <f t="shared" si="16"/>
        <v>6.2249999999999996E-3</v>
      </c>
      <c r="BR27" s="3">
        <v>0</v>
      </c>
      <c r="BS27" s="538">
        <v>0.02</v>
      </c>
      <c r="BT27" s="4"/>
      <c r="BU27" s="3"/>
      <c r="BV27" s="3">
        <f>ROUND(BQ27*AZ27,-3)</f>
        <v>102000</v>
      </c>
      <c r="BW27" s="3">
        <f>ROUND(BS27*BB27,-3)</f>
        <v>25000</v>
      </c>
      <c r="BX27" s="3">
        <f>SUM(BT27:BW27)</f>
        <v>127000</v>
      </c>
      <c r="CA27" s="3">
        <f t="shared" si="18"/>
        <v>0</v>
      </c>
    </row>
    <row r="28" spans="1:79" x14ac:dyDescent="0.2">
      <c r="A28" t="s">
        <v>10</v>
      </c>
      <c r="B28" t="s">
        <v>223</v>
      </c>
      <c r="C28" s="89">
        <f>'Block Builder'!C9</f>
        <v>0</v>
      </c>
      <c r="D28" s="89">
        <f>'Block Builder'!D9</f>
        <v>0</v>
      </c>
      <c r="E28" s="89">
        <f>'Block Builder'!E9</f>
        <v>0</v>
      </c>
      <c r="F28" s="89">
        <f>'Block Builder'!F9</f>
        <v>0</v>
      </c>
      <c r="G28" s="89">
        <f>'Block Builder'!G9</f>
        <v>0</v>
      </c>
      <c r="H28" s="89">
        <f>'Block Builder'!H9</f>
        <v>0</v>
      </c>
      <c r="I28" s="185">
        <f t="shared" si="4"/>
        <v>0</v>
      </c>
      <c r="J28" s="3" cm="1">
        <f t="array" ref="J28">SUMPRODUCT(--('Building Summary'!$A$2:$A$23=Model!$B28),('Building Summary'!$P$2:$P$23))</f>
        <v>20000</v>
      </c>
      <c r="K28" s="3" cm="1">
        <f t="array" ref="K28">SUMPRODUCT(--('Building Summary'!$A$2:$A$23=Model!$B28),('Building Summary'!$R$2:$R$23))</f>
        <v>0</v>
      </c>
      <c r="L28" s="19" cm="1">
        <f t="array" ref="L28">$I28*SUMPRODUCT(--(sBuilding=B28),(sBuilding_Cost))</f>
        <v>0</v>
      </c>
      <c r="M28" s="3"/>
      <c r="N28" s="187">
        <f>IF($L28&gt;0,$L28*(AF28/$AM28),0)</f>
        <v>0</v>
      </c>
      <c r="O28" s="3"/>
      <c r="P28" s="3"/>
      <c r="Q28" s="3"/>
      <c r="R28" s="3"/>
      <c r="S28" s="3"/>
      <c r="T28" s="3"/>
      <c r="U28" s="3">
        <f t="shared" si="6"/>
        <v>0</v>
      </c>
      <c r="V28" s="19">
        <f t="shared" si="7"/>
        <v>0</v>
      </c>
      <c r="W28" s="19"/>
      <c r="X28" s="19"/>
      <c r="Y28" s="19">
        <f t="shared" si="8"/>
        <v>0</v>
      </c>
      <c r="Z28" s="29">
        <f t="shared" si="9"/>
        <v>0</v>
      </c>
      <c r="AA28" s="31"/>
      <c r="AB28" s="19">
        <f t="shared" si="10"/>
        <v>0</v>
      </c>
      <c r="AC28" s="19"/>
      <c r="AD28" s="21" cm="1">
        <f t="array" ref="AD28">I28*SUMPRODUCT(--(sBuilding=$B28),(sResiUnitCount))</f>
        <v>0</v>
      </c>
      <c r="AE28" s="3" cm="1">
        <f t="array" ref="AE28">$I28*SUMPRODUCT(--(sBuilding=$B28),(sOfficeSF))</f>
        <v>0</v>
      </c>
      <c r="AF28" s="3" cm="1">
        <f t="array" ref="AF28">(1-AA28)*$I28*SUMPRODUCT(--(sBuilding=$B28),(sResiSF))</f>
        <v>0</v>
      </c>
      <c r="AG28" s="3" cm="1">
        <f t="array" ref="AG28">AA28*$I28*SUMPRODUCT(--(sBuilding=$B28),(sResiSF))</f>
        <v>0</v>
      </c>
      <c r="AH28" s="3" cm="1">
        <f t="array" ref="AH28">$I28*SUMPRODUCT(--(sBuilding=$B28),(sRetailSF))</f>
        <v>0</v>
      </c>
      <c r="AI28" s="3" cm="1">
        <f t="array" ref="AI28">$I28*SUMPRODUCT(--(sBuilding=$B28),(sCommunitySF))</f>
        <v>0</v>
      </c>
      <c r="AJ28" s="3" cm="1">
        <f t="array" ref="AJ28">$I28*SUMPRODUCT(--(sBuilding=$B28),(sCommunity_Commercial_SF))</f>
        <v>0</v>
      </c>
      <c r="AK28" s="3" cm="1">
        <f t="array" ref="AK28">$I28*SUMPRODUCT(--(sBuilding=$B28),(sShelter_SF))</f>
        <v>0</v>
      </c>
      <c r="AL28" s="3" cm="1">
        <f t="array" ref="AL28">$I28*SUMPRODUCT(--(sBuilding=$B28),(sOpenSpace))</f>
        <v>0</v>
      </c>
      <c r="AM28" s="19">
        <f t="shared" si="12"/>
        <v>0</v>
      </c>
      <c r="AN28" s="19" cm="1">
        <f t="array" ref="AN28">$I28*SUMPRODUCT(--(sBuilding=$B28),(sParking_Surface))</f>
        <v>0</v>
      </c>
      <c r="AO28" s="19" cm="1">
        <f t="array" ref="AO28">$I28*SUMPRODUCT(--(sBuilding=$B28),(sParking_Structured))</f>
        <v>0</v>
      </c>
      <c r="AP28" s="19" cm="1">
        <f t="array" ref="AP28">$I28*SUMPRODUCT(--(sBuilding=$B28),(sParking_Subterranean))</f>
        <v>0</v>
      </c>
      <c r="AQ28" s="3" cm="1">
        <f t="array" ref="AQ28">$I28*SUMPRODUCT(--(sBuilding=$B28),(sParking_TotalUnits))</f>
        <v>0</v>
      </c>
      <c r="AR28" s="3" cm="1">
        <f t="array" ref="AR28">$I28*SUMPRODUCT(--(sBuilding=$B28),(sParking_Footprint))</f>
        <v>0</v>
      </c>
      <c r="AS28" s="645"/>
      <c r="AT28" s="645">
        <v>1.407</v>
      </c>
      <c r="AU28" s="645"/>
      <c r="AV28" s="645">
        <v>1.3</v>
      </c>
      <c r="AW28" s="645"/>
      <c r="AX28" s="645"/>
      <c r="AY28" s="3"/>
      <c r="AZ28" s="3">
        <f>ROUND(N28*AT28,-3)</f>
        <v>0</v>
      </c>
      <c r="BA28" s="3"/>
      <c r="BB28" s="3">
        <f t="shared" ref="BB28:BB42" si="22">ROUND(P28*AV28,-3)</f>
        <v>0</v>
      </c>
      <c r="BC28" s="3">
        <f t="shared" ref="BC28:BC42" si="23">ROUND(Q28*AW28,-3)</f>
        <v>0</v>
      </c>
      <c r="BD28" s="3">
        <f t="shared" ref="BD28:BD42" si="24">ROUND(R28*AX28,-3)</f>
        <v>0</v>
      </c>
      <c r="BE28" s="19">
        <f t="shared" si="14"/>
        <v>0</v>
      </c>
      <c r="BF28" s="627">
        <v>5100000</v>
      </c>
      <c r="BG28" s="596"/>
      <c r="BH28" s="29"/>
      <c r="BI28" s="29"/>
      <c r="BJ28" s="29"/>
      <c r="BK28" s="29"/>
      <c r="BL28" s="3">
        <f t="shared" si="19"/>
        <v>0</v>
      </c>
      <c r="BM28" s="3">
        <f>ROUND(IFERROR(-BF28*(I28/SUM($I$28:$I$29))*(MIN(0,(1-SUM($I$28:$I$29)))),0),-3)</f>
        <v>0</v>
      </c>
      <c r="BN28" s="3">
        <f t="shared" si="21"/>
        <v>0</v>
      </c>
      <c r="BO28" s="3">
        <f t="shared" si="15"/>
        <v>0</v>
      </c>
      <c r="BP28" s="537"/>
      <c r="BQ28" s="538">
        <f>0.007*0.83</f>
        <v>5.8100000000000001E-3</v>
      </c>
      <c r="BR28" s="3"/>
      <c r="BS28" s="538">
        <v>0.02</v>
      </c>
      <c r="BT28" s="4"/>
      <c r="BU28" s="3"/>
      <c r="BV28" s="3">
        <f>ROUND(BQ28*AZ28,-3)</f>
        <v>0</v>
      </c>
      <c r="BW28" s="3">
        <f>ROUND(BS28*BB28,-3)</f>
        <v>0</v>
      </c>
      <c r="BX28" s="3">
        <f t="shared" si="17"/>
        <v>0</v>
      </c>
      <c r="CA28" s="3">
        <f t="shared" si="18"/>
        <v>0</v>
      </c>
    </row>
    <row r="29" spans="1:79" x14ac:dyDescent="0.2">
      <c r="A29" t="s">
        <v>10</v>
      </c>
      <c r="B29" t="s">
        <v>183</v>
      </c>
      <c r="C29" s="89">
        <f>'Block Builder'!C10</f>
        <v>0</v>
      </c>
      <c r="D29" s="89">
        <f>'Block Builder'!D10</f>
        <v>1</v>
      </c>
      <c r="E29" s="89">
        <f>'Block Builder'!E10</f>
        <v>0</v>
      </c>
      <c r="F29" s="89">
        <f>'Block Builder'!F10</f>
        <v>0</v>
      </c>
      <c r="G29" s="89">
        <f>'Block Builder'!G10</f>
        <v>0</v>
      </c>
      <c r="H29" s="89">
        <f>'Block Builder'!H10</f>
        <v>0</v>
      </c>
      <c r="I29" s="185">
        <f t="shared" si="4"/>
        <v>1</v>
      </c>
      <c r="J29" s="3" cm="1">
        <f t="array" ref="J29">SUMPRODUCT(--('Building Summary'!$A$2:$A$23=Model!$B29),('Building Summary'!$P$2:$P$23))</f>
        <v>20000</v>
      </c>
      <c r="K29" s="3" cm="1">
        <f t="array" ref="K29">SUMPRODUCT(--('Building Summary'!$A$2:$A$23=Model!$B29),('Building Summary'!$R$2:$R$23))</f>
        <v>0</v>
      </c>
      <c r="L29" s="19" cm="1">
        <f t="array" ref="L29">$I29*SUMPRODUCT(--(sBuilding=B29),(sBuilding_Cost))</f>
        <v>31350000</v>
      </c>
      <c r="M29" s="188"/>
      <c r="N29" s="187">
        <f>IF($L29&gt;0,$L29*(AF29/$AM29),0)</f>
        <v>29505882.352941178</v>
      </c>
      <c r="O29" s="188"/>
      <c r="P29" s="187">
        <f>IF($L29&gt;0,$L29*(AH29/$AM29),0)</f>
        <v>1844117.6470588236</v>
      </c>
      <c r="Q29" s="188"/>
      <c r="R29" s="188"/>
      <c r="S29" s="188"/>
      <c r="T29" s="188"/>
      <c r="U29" s="3">
        <f t="shared" si="6"/>
        <v>0</v>
      </c>
      <c r="V29" s="19">
        <f t="shared" si="7"/>
        <v>0</v>
      </c>
      <c r="W29" s="19"/>
      <c r="X29" s="19"/>
      <c r="Y29" s="19">
        <f t="shared" si="8"/>
        <v>0</v>
      </c>
      <c r="Z29" s="29">
        <f t="shared" si="9"/>
        <v>0</v>
      </c>
      <c r="AA29" s="31"/>
      <c r="AB29" s="19">
        <f t="shared" si="10"/>
        <v>56</v>
      </c>
      <c r="AC29" s="19"/>
      <c r="AD29" s="21" cm="1">
        <f t="array" ref="AD29">I29*SUMPRODUCT(--(sBuilding=$B29),(sResiUnitCount))</f>
        <v>56</v>
      </c>
      <c r="AE29" s="3" cm="1">
        <f t="array" ref="AE29">$I29*SUMPRODUCT(--(sBuilding=$B29),(sOfficeSF))</f>
        <v>0</v>
      </c>
      <c r="AF29" s="3" cm="1">
        <f t="array" ref="AF29">(1-AA29)*$I29*SUMPRODUCT(--(sBuilding=$B29),(sResiSF))</f>
        <v>80000</v>
      </c>
      <c r="AG29" s="3" cm="1">
        <f t="array" ref="AG29">AA29*$I29*SUMPRODUCT(--(sBuilding=$B29),(sResiSF))</f>
        <v>0</v>
      </c>
      <c r="AH29" s="3" cm="1">
        <f t="array" ref="AH29">$I29*SUMPRODUCT(--(sBuilding=$B29),(sRetailSF))</f>
        <v>5000</v>
      </c>
      <c r="AI29" s="3" cm="1">
        <f t="array" ref="AI29">$I29*SUMPRODUCT(--(sBuilding=$B29),(sCommunitySF))</f>
        <v>0</v>
      </c>
      <c r="AJ29" s="3" cm="1">
        <f t="array" ref="AJ29">$I29*SUMPRODUCT(--(sBuilding=$B29),(sCommunity_Commercial_SF))</f>
        <v>0</v>
      </c>
      <c r="AK29" s="3" cm="1">
        <f t="array" ref="AK29">$I29*SUMPRODUCT(--(sBuilding=$B29),(sShelter_SF))</f>
        <v>0</v>
      </c>
      <c r="AL29" s="3" cm="1">
        <f t="array" ref="AL29">$I29*SUMPRODUCT(--(sBuilding=$B29),(sOpenSpace))</f>
        <v>0</v>
      </c>
      <c r="AM29" s="19">
        <f t="shared" si="12"/>
        <v>85000</v>
      </c>
      <c r="AN29" s="19" cm="1">
        <f t="array" ref="AN29">$I29*SUMPRODUCT(--(sBuilding=$B29),(sParking_Surface))</f>
        <v>14</v>
      </c>
      <c r="AO29" s="19" cm="1">
        <f t="array" ref="AO29">$I29*SUMPRODUCT(--(sBuilding=$B29),(sParking_Structured))</f>
        <v>0</v>
      </c>
      <c r="AP29" s="19" cm="1">
        <f t="array" ref="AP29">$I29*SUMPRODUCT(--(sBuilding=$B29),(sParking_Subterranean))</f>
        <v>85</v>
      </c>
      <c r="AQ29" s="3" cm="1">
        <f t="array" ref="AQ29">$I29*SUMPRODUCT(--(sBuilding=$B29),(sParking_TotalUnits))</f>
        <v>99</v>
      </c>
      <c r="AR29" s="3" cm="1">
        <f t="array" ref="AR29">$I29*SUMPRODUCT(--(sBuilding=$B29),(sParking_Footprint))</f>
        <v>0</v>
      </c>
      <c r="AS29" s="645"/>
      <c r="AT29" s="645">
        <f>AT28*0.98</f>
        <v>1.37886</v>
      </c>
      <c r="AU29" s="645"/>
      <c r="AV29" s="645">
        <f>AV28*0.98</f>
        <v>1.274</v>
      </c>
      <c r="AW29" s="645"/>
      <c r="AX29" s="645"/>
      <c r="AY29" s="3"/>
      <c r="AZ29" s="3">
        <f>ROUND(N29*AT29,-3)</f>
        <v>40684000</v>
      </c>
      <c r="BA29" s="3"/>
      <c r="BB29" s="3">
        <f t="shared" si="22"/>
        <v>2349000</v>
      </c>
      <c r="BC29" s="3">
        <f t="shared" si="23"/>
        <v>0</v>
      </c>
      <c r="BD29" s="3">
        <f t="shared" si="24"/>
        <v>0</v>
      </c>
      <c r="BE29" s="19">
        <f t="shared" si="14"/>
        <v>43033000</v>
      </c>
      <c r="BF29" s="627">
        <v>5100000</v>
      </c>
      <c r="BG29" s="596"/>
      <c r="BH29" s="29"/>
      <c r="BI29" s="29"/>
      <c r="BJ29" s="29"/>
      <c r="BK29" s="29"/>
      <c r="BL29" s="3">
        <f t="shared" si="19"/>
        <v>0</v>
      </c>
      <c r="BM29" s="3">
        <f>ROUND(IFERROR(-BF29*(I29/SUM($I$28:$I$29))*(MIN(0,(1-SUM($I$28:$I$29)))),0),-3)</f>
        <v>0</v>
      </c>
      <c r="BN29" s="3">
        <f t="shared" si="21"/>
        <v>0</v>
      </c>
      <c r="BO29" s="3">
        <f t="shared" si="15"/>
        <v>0</v>
      </c>
      <c r="BP29" s="537"/>
      <c r="BQ29" s="538">
        <f>0.007*0.83</f>
        <v>5.8100000000000001E-3</v>
      </c>
      <c r="BR29" s="3"/>
      <c r="BS29" s="538">
        <v>0.02</v>
      </c>
      <c r="BT29" s="4"/>
      <c r="BU29" s="3"/>
      <c r="BV29" s="3">
        <f>ROUND(BQ29*AZ29,-3)</f>
        <v>236000</v>
      </c>
      <c r="BW29" s="3">
        <f>ROUND(BS29*BB29,-3)</f>
        <v>47000</v>
      </c>
      <c r="BX29" s="3">
        <f t="shared" si="17"/>
        <v>283000</v>
      </c>
      <c r="CA29" s="3">
        <f t="shared" si="18"/>
        <v>0</v>
      </c>
    </row>
    <row r="30" spans="1:79" x14ac:dyDescent="0.2">
      <c r="A30" t="s">
        <v>395</v>
      </c>
      <c r="B30" t="s">
        <v>98</v>
      </c>
      <c r="C30" s="89">
        <f>'Block Builder'!C26</f>
        <v>1</v>
      </c>
      <c r="D30" s="89">
        <f>'Block Builder'!D26</f>
        <v>0</v>
      </c>
      <c r="E30" s="89">
        <f>'Block Builder'!E26</f>
        <v>0</v>
      </c>
      <c r="F30" s="89">
        <f>'Block Builder'!F26</f>
        <v>0</v>
      </c>
      <c r="G30" s="89">
        <f>'Block Builder'!G26</f>
        <v>0</v>
      </c>
      <c r="H30" s="89">
        <f>'Block Builder'!H26</f>
        <v>0</v>
      </c>
      <c r="I30" s="185">
        <f t="shared" si="4"/>
        <v>1</v>
      </c>
      <c r="J30" s="3" cm="1">
        <f t="array" ref="J30">SUMPRODUCT(--('Building Summary'!$A$2:$A$23=Model!$B30),('Building Summary'!$P$2:$P$23))</f>
        <v>20000</v>
      </c>
      <c r="K30" s="3" cm="1">
        <f t="array" ref="K30">SUMPRODUCT(--('Building Summary'!$A$2:$A$23=Model!$B30),('Building Summary'!$R$2:$R$23))</f>
        <v>0</v>
      </c>
      <c r="L30" s="19" cm="1">
        <f t="array" ref="L30">$I30*SUMPRODUCT(--(sBuilding=B30),(sBuilding_Cost))</f>
        <v>0</v>
      </c>
      <c r="M30" s="3"/>
      <c r="N30" s="3"/>
      <c r="O30" s="3"/>
      <c r="P30" s="3"/>
      <c r="Q30" s="3"/>
      <c r="R30" s="3"/>
      <c r="S30" s="187">
        <f>IF($L30&gt;0,$L30*(AK30/$AM30),0)</f>
        <v>0</v>
      </c>
      <c r="T30" s="3"/>
      <c r="U30" s="3">
        <f t="shared" si="6"/>
        <v>0</v>
      </c>
      <c r="V30" s="19">
        <f t="shared" si="7"/>
        <v>0</v>
      </c>
      <c r="W30" s="19"/>
      <c r="X30" s="19"/>
      <c r="Y30" s="19">
        <f t="shared" si="8"/>
        <v>0</v>
      </c>
      <c r="Z30" s="29">
        <f t="shared" si="9"/>
        <v>0</v>
      </c>
      <c r="AB30" s="19"/>
      <c r="AC30" s="19"/>
      <c r="AD30" s="21"/>
      <c r="AE30" s="3" cm="1">
        <f t="array" ref="AE30">$I30*SUMPRODUCT(--(sBuilding=$B30),(sOfficeSF))</f>
        <v>0</v>
      </c>
      <c r="AF30" s="3" cm="1">
        <f t="array" ref="AF30">(1-AA30)*$I30*SUMPRODUCT(--(sBuilding=$B30),(sResiSF))</f>
        <v>0</v>
      </c>
      <c r="AG30" s="3" cm="1">
        <f t="array" ref="AG30">AA30*$I30*SUMPRODUCT(--(sBuilding=$B30),(sResiSF))</f>
        <v>0</v>
      </c>
      <c r="AH30" s="3" cm="1">
        <f t="array" ref="AH30">$I30*SUMPRODUCT(--(sBuilding=$B30),(sRetailSF))</f>
        <v>0</v>
      </c>
      <c r="AI30" s="3" cm="1">
        <f t="array" ref="AI30">$I30*SUMPRODUCT(--(sBuilding=$B30),(sCommunitySF))</f>
        <v>0</v>
      </c>
      <c r="AJ30" s="3" cm="1">
        <f t="array" ref="AJ30">$I30*SUMPRODUCT(--(sBuilding=$B30),(sCommunity_Commercial_SF))</f>
        <v>0</v>
      </c>
      <c r="AK30" s="3" cm="1">
        <f t="array" ref="AK30">$I30*SUMPRODUCT(--(sBuilding=$B30),(sShelter_SF))</f>
        <v>60000</v>
      </c>
      <c r="AL30" s="3" cm="1">
        <f t="array" ref="AL30">$I30*SUMPRODUCT(--(sBuilding=$B30),(sOpenSpace))</f>
        <v>0</v>
      </c>
      <c r="AM30" s="19">
        <f t="shared" si="12"/>
        <v>60000</v>
      </c>
      <c r="AN30" s="19" cm="1">
        <f t="array" ref="AN30">$I30*SUMPRODUCT(--(sBuilding=$B30),(sParking_Surface))</f>
        <v>0</v>
      </c>
      <c r="AO30" s="19" cm="1">
        <f t="array" ref="AO30">$I30*SUMPRODUCT(--(sBuilding=$B30),(sParking_Structured))</f>
        <v>0</v>
      </c>
      <c r="AP30" s="19" cm="1">
        <f t="array" ref="AP30">$I30*SUMPRODUCT(--(sBuilding=$B30),(sParking_Subterranean))</f>
        <v>0</v>
      </c>
      <c r="AQ30" s="3" cm="1">
        <f t="array" ref="AQ30">$I30*SUMPRODUCT(--(sBuilding=$B30),(sParking_TotalUnits))</f>
        <v>0</v>
      </c>
      <c r="AR30" s="3" cm="1">
        <f t="array" ref="AR30">$I30*SUMPRODUCT(--(sBuilding=$B30),(sParking_Footprint))</f>
        <v>0</v>
      </c>
      <c r="AS30" s="645"/>
      <c r="AT30" s="645"/>
      <c r="AU30" s="645"/>
      <c r="AV30" s="645"/>
      <c r="AW30" s="645"/>
      <c r="AX30" s="645"/>
      <c r="AY30" s="3"/>
      <c r="AZ30" s="3"/>
      <c r="BA30" s="3"/>
      <c r="BB30" s="3">
        <f t="shared" si="22"/>
        <v>0</v>
      </c>
      <c r="BC30" s="3">
        <f t="shared" si="23"/>
        <v>0</v>
      </c>
      <c r="BD30" s="3">
        <f t="shared" si="24"/>
        <v>0</v>
      </c>
      <c r="BE30" s="19">
        <f t="shared" si="14"/>
        <v>0</v>
      </c>
      <c r="BF30" s="595"/>
      <c r="BG30" s="596"/>
      <c r="BH30" s="29"/>
      <c r="BI30" s="29"/>
      <c r="BJ30" s="29"/>
      <c r="BK30" s="29"/>
      <c r="BL30" s="3">
        <f t="shared" si="19"/>
        <v>0</v>
      </c>
      <c r="BM30" s="3">
        <f t="shared" si="19"/>
        <v>0</v>
      </c>
      <c r="BN30" s="3">
        <f t="shared" si="21"/>
        <v>0</v>
      </c>
      <c r="BO30" s="3">
        <f t="shared" si="15"/>
        <v>0</v>
      </c>
      <c r="BP30" s="537"/>
      <c r="BT30" s="4"/>
      <c r="BU30" s="3"/>
      <c r="BV30" s="3"/>
      <c r="BW30" s="3"/>
      <c r="BX30" s="3">
        <f t="shared" si="17"/>
        <v>0</v>
      </c>
      <c r="CA30" s="3">
        <f t="shared" si="18"/>
        <v>0</v>
      </c>
    </row>
    <row r="31" spans="1:79" x14ac:dyDescent="0.2">
      <c r="A31" t="s">
        <v>24</v>
      </c>
      <c r="B31" t="s">
        <v>396</v>
      </c>
      <c r="C31" s="89">
        <f>'Block Builder'!C12</f>
        <v>0</v>
      </c>
      <c r="D31" s="89">
        <f>'Block Builder'!D12</f>
        <v>0</v>
      </c>
      <c r="E31" s="89">
        <f>'Block Builder'!E12</f>
        <v>1</v>
      </c>
      <c r="F31" s="89">
        <f>'Block Builder'!F12</f>
        <v>0</v>
      </c>
      <c r="G31" s="89">
        <f>'Block Builder'!G12</f>
        <v>0</v>
      </c>
      <c r="H31" s="89">
        <f>'Block Builder'!H12</f>
        <v>0</v>
      </c>
      <c r="I31" s="185">
        <f t="shared" si="4"/>
        <v>1</v>
      </c>
      <c r="J31" s="3" cm="1">
        <f t="array" ref="J31">SUMPRODUCT(--('Building Summary'!$A$2:$A$23=Model!$B31),('Building Summary'!$P$2:$P$23))</f>
        <v>30000</v>
      </c>
      <c r="K31" s="3" cm="1">
        <f t="array" ref="K31">SUMPRODUCT(--('Building Summary'!$A$2:$A$23=Model!$B31),('Building Summary'!$R$2:$R$23))</f>
        <v>15000</v>
      </c>
      <c r="L31" s="19" cm="1">
        <f t="array" ref="L31">$I31*SUMPRODUCT(--(sBuilding=B31),(sBuilding_Cost))</f>
        <v>14062500</v>
      </c>
      <c r="M31" s="187">
        <f>IF($L31&gt;0,$L31*(AE31/$AM31),0)</f>
        <v>14062500</v>
      </c>
      <c r="N31" s="3"/>
      <c r="O31" s="3"/>
      <c r="P31" s="3"/>
      <c r="Q31" s="3"/>
      <c r="R31" s="3"/>
      <c r="S31" s="3"/>
      <c r="T31" s="3"/>
      <c r="U31" s="3">
        <f t="shared" si="6"/>
        <v>0</v>
      </c>
      <c r="V31" s="19">
        <f t="shared" si="7"/>
        <v>0</v>
      </c>
      <c r="W31" s="19"/>
      <c r="X31" s="19"/>
      <c r="Y31" s="19">
        <f t="shared" si="8"/>
        <v>0</v>
      </c>
      <c r="Z31" s="29">
        <f t="shared" si="9"/>
        <v>0</v>
      </c>
      <c r="AB31" s="19"/>
      <c r="AC31" s="19"/>
      <c r="AD31" s="21"/>
      <c r="AE31" s="3" cm="1">
        <f t="array" ref="AE31">$I31*SUMPRODUCT(--(sBuilding=$B31),(sOfficeSF))</f>
        <v>45000</v>
      </c>
      <c r="AF31" s="3" cm="1">
        <f t="array" ref="AF31">(1-AA31)*$I31*SUMPRODUCT(--(sBuilding=$B31),(sResiSF))</f>
        <v>0</v>
      </c>
      <c r="AG31" s="3" cm="1">
        <f t="array" ref="AG31">AA31*$I31*SUMPRODUCT(--(sBuilding=$B31),(sResiSF))</f>
        <v>0</v>
      </c>
      <c r="AH31" s="3" cm="1">
        <f t="array" ref="AH31">$I31*SUMPRODUCT(--(sBuilding=$B31),(sRetailSF))</f>
        <v>0</v>
      </c>
      <c r="AI31" s="3" cm="1">
        <f t="array" ref="AI31">$I31*SUMPRODUCT(--(sBuilding=$B31),(sCommunitySF))</f>
        <v>0</v>
      </c>
      <c r="AJ31" s="3" cm="1">
        <f t="array" ref="AJ31">$I31*SUMPRODUCT(--(sBuilding=$B31),(sCommunity_Commercial_SF))</f>
        <v>0</v>
      </c>
      <c r="AK31" s="3" cm="1">
        <f t="array" ref="AK31">$I31*SUMPRODUCT(--(sBuilding=$B31),(sShelter_SF))</f>
        <v>0</v>
      </c>
      <c r="AL31" s="3" cm="1">
        <f t="array" ref="AL31">$I31*SUMPRODUCT(--(sBuilding=$B31),(sOpenSpace))</f>
        <v>0</v>
      </c>
      <c r="AM31" s="19">
        <f t="shared" si="12"/>
        <v>45000</v>
      </c>
      <c r="AN31" s="19" cm="1">
        <f t="array" ref="AN31">$I31*SUMPRODUCT(--(sBuilding=$B31),(sParking_Surface))</f>
        <v>0</v>
      </c>
      <c r="AO31" s="19" cm="1">
        <f t="array" ref="AO31">$I31*SUMPRODUCT(--(sBuilding=$B31),(sParking_Structured))</f>
        <v>90</v>
      </c>
      <c r="AP31" s="19" cm="1">
        <f t="array" ref="AP31">$I31*SUMPRODUCT(--(sBuilding=$B31),(sParking_Subterranean))</f>
        <v>0</v>
      </c>
      <c r="AQ31" s="3" cm="1">
        <f t="array" ref="AQ31">$I31*SUMPRODUCT(--(sBuilding=$B31),(sParking_TotalUnits))</f>
        <v>90</v>
      </c>
      <c r="AR31" s="3" cm="1">
        <f t="array" ref="AR31">$I31*SUMPRODUCT(--(sBuilding=$B31),(sParking_Footprint))</f>
        <v>15000</v>
      </c>
      <c r="AS31" s="655">
        <v>1.3049999999999999</v>
      </c>
      <c r="AT31" s="655"/>
      <c r="AU31" s="655"/>
      <c r="AW31" s="655"/>
      <c r="AX31" s="655"/>
      <c r="AY31" s="3">
        <f>ROUND(M31*AS31,-3)</f>
        <v>18352000</v>
      </c>
      <c r="AZ31" s="3"/>
      <c r="BA31" s="3"/>
      <c r="BB31" s="3">
        <f t="shared" si="22"/>
        <v>0</v>
      </c>
      <c r="BC31" s="3">
        <f t="shared" si="23"/>
        <v>0</v>
      </c>
      <c r="BD31" s="3">
        <f t="shared" si="24"/>
        <v>0</v>
      </c>
      <c r="BE31" s="19">
        <f t="shared" si="14"/>
        <v>18352000</v>
      </c>
      <c r="BF31" s="595">
        <v>1.43</v>
      </c>
      <c r="BG31" s="596">
        <v>0.30499999999999999</v>
      </c>
      <c r="BH31" s="29"/>
      <c r="BI31" s="29">
        <f>Market!$H$16*$BF31*(1-(1/(1+$BG31)))</f>
        <v>0</v>
      </c>
      <c r="BJ31" s="29"/>
      <c r="BK31" s="29"/>
      <c r="BL31" s="3">
        <f t="shared" si="19"/>
        <v>0</v>
      </c>
      <c r="BM31" s="3">
        <f t="shared" si="19"/>
        <v>0</v>
      </c>
      <c r="BN31" s="3">
        <f t="shared" si="21"/>
        <v>0</v>
      </c>
      <c r="BO31" s="3">
        <f t="shared" si="15"/>
        <v>0</v>
      </c>
      <c r="BP31" s="538">
        <f>0.0075*0.83</f>
        <v>6.2249999999999996E-3</v>
      </c>
      <c r="BS31" s="538">
        <v>0.02</v>
      </c>
      <c r="BT31" s="4"/>
      <c r="BU31" s="3">
        <f t="shared" ref="BU31:BV34" si="25">ROUND(BP31*AY31,-3)</f>
        <v>114000</v>
      </c>
      <c r="BV31" s="3">
        <f t="shared" si="25"/>
        <v>0</v>
      </c>
      <c r="BW31" s="3">
        <f t="shared" ref="BW31:BW38" si="26">ROUND(BS31*BB31,-3)</f>
        <v>0</v>
      </c>
      <c r="BX31" s="3">
        <f t="shared" si="17"/>
        <v>114000</v>
      </c>
      <c r="CA31" s="3">
        <f t="shared" si="18"/>
        <v>0</v>
      </c>
    </row>
    <row r="32" spans="1:79" x14ac:dyDescent="0.2">
      <c r="A32" t="s">
        <v>24</v>
      </c>
      <c r="B32" t="s">
        <v>397</v>
      </c>
      <c r="C32" s="89">
        <f>'Block Builder'!C13</f>
        <v>1</v>
      </c>
      <c r="D32" s="89">
        <f>'Block Builder'!D13</f>
        <v>0</v>
      </c>
      <c r="E32" s="89">
        <f>'Block Builder'!E13</f>
        <v>0</v>
      </c>
      <c r="F32" s="89">
        <f>'Block Builder'!F13</f>
        <v>0</v>
      </c>
      <c r="G32" s="89">
        <f>'Block Builder'!G13</f>
        <v>0</v>
      </c>
      <c r="H32" s="89">
        <f>'Block Builder'!H13</f>
        <v>0</v>
      </c>
      <c r="I32" s="185">
        <f t="shared" si="4"/>
        <v>1</v>
      </c>
      <c r="J32" s="3" cm="1">
        <f t="array" ref="J32">SUMPRODUCT(--('Building Summary'!$A$2:$A$23=Model!$B32),('Building Summary'!$P$2:$P$23))</f>
        <v>40000</v>
      </c>
      <c r="K32" s="3" cm="1">
        <f t="array" ref="K32">SUMPRODUCT(--('Building Summary'!$A$2:$A$23=Model!$B32),('Building Summary'!$R$2:$R$23))</f>
        <v>20000</v>
      </c>
      <c r="L32" s="19" cm="1">
        <f t="array" ref="L32">$I32*SUMPRODUCT(--(sBuilding=B32),(sBuilding_Cost))</f>
        <v>18750000</v>
      </c>
      <c r="M32" s="187">
        <f>IF($L32&gt;0,$L32*(AE32/$AM32),0)</f>
        <v>18750000</v>
      </c>
      <c r="N32" s="3"/>
      <c r="O32" s="3"/>
      <c r="P32" s="3"/>
      <c r="Q32" s="3"/>
      <c r="R32" s="3"/>
      <c r="S32" s="3"/>
      <c r="T32" s="3"/>
      <c r="U32" s="3">
        <f t="shared" si="6"/>
        <v>0</v>
      </c>
      <c r="V32" s="19">
        <f t="shared" si="7"/>
        <v>0</v>
      </c>
      <c r="W32" s="19"/>
      <c r="X32" s="19"/>
      <c r="Y32" s="19">
        <f t="shared" si="8"/>
        <v>0</v>
      </c>
      <c r="Z32" s="29">
        <f t="shared" si="9"/>
        <v>0</v>
      </c>
      <c r="AB32" s="19"/>
      <c r="AC32" s="19"/>
      <c r="AD32" s="21"/>
      <c r="AE32" s="3" cm="1">
        <f t="array" ref="AE32">$I32*SUMPRODUCT(--(sBuilding=$B32),(sOfficeSF))</f>
        <v>60000</v>
      </c>
      <c r="AF32" s="3" cm="1">
        <f t="array" ref="AF32">(1-AA32)*$I32*SUMPRODUCT(--(sBuilding=$B32),(sResiSF))</f>
        <v>0</v>
      </c>
      <c r="AG32" s="3" cm="1">
        <f t="array" ref="AG32">AA32*$I32*SUMPRODUCT(--(sBuilding=$B32),(sResiSF))</f>
        <v>0</v>
      </c>
      <c r="AH32" s="3" cm="1">
        <f t="array" ref="AH32">$I32*SUMPRODUCT(--(sBuilding=$B32),(sRetailSF))</f>
        <v>0</v>
      </c>
      <c r="AI32" s="3" cm="1">
        <f t="array" ref="AI32">$I32*SUMPRODUCT(--(sBuilding=$B32),(sCommunitySF))</f>
        <v>0</v>
      </c>
      <c r="AJ32" s="3" cm="1">
        <f t="array" ref="AJ32">$I32*SUMPRODUCT(--(sBuilding=$B32),(sCommunity_Commercial_SF))</f>
        <v>0</v>
      </c>
      <c r="AK32" s="3" cm="1">
        <f t="array" ref="AK32">$I32*SUMPRODUCT(--(sBuilding=$B32),(sShelter_SF))</f>
        <v>0</v>
      </c>
      <c r="AL32" s="3" cm="1">
        <f t="array" ref="AL32">$I32*SUMPRODUCT(--(sBuilding=$B32),(sOpenSpace))</f>
        <v>0</v>
      </c>
      <c r="AM32" s="19">
        <f t="shared" si="12"/>
        <v>60000</v>
      </c>
      <c r="AN32" s="19" cm="1">
        <f t="array" ref="AN32">$I32*SUMPRODUCT(--(sBuilding=$B32),(sParking_Surface))</f>
        <v>0</v>
      </c>
      <c r="AO32" s="19" cm="1">
        <f t="array" ref="AO32">$I32*SUMPRODUCT(--(sBuilding=$B32),(sParking_Structured))</f>
        <v>120</v>
      </c>
      <c r="AP32" s="19" cm="1">
        <f t="array" ref="AP32">$I32*SUMPRODUCT(--(sBuilding=$B32),(sParking_Subterranean))</f>
        <v>0</v>
      </c>
      <c r="AQ32" s="3" cm="1">
        <f t="array" ref="AQ32">$I32*SUMPRODUCT(--(sBuilding=$B32),(sParking_TotalUnits))</f>
        <v>120</v>
      </c>
      <c r="AR32" s="3" cm="1">
        <f t="array" ref="AR32">$I32*SUMPRODUCT(--(sBuilding=$B32),(sParking_Footprint))</f>
        <v>20000</v>
      </c>
      <c r="AS32" s="655">
        <v>1.3049999999999999</v>
      </c>
      <c r="AT32" s="655"/>
      <c r="AU32" s="655"/>
      <c r="AW32" s="655"/>
      <c r="AX32" s="655"/>
      <c r="AY32" s="3">
        <f>ROUND(M32*AS32,-3)</f>
        <v>24469000</v>
      </c>
      <c r="AZ32" s="3"/>
      <c r="BA32" s="3"/>
      <c r="BB32" s="3">
        <f t="shared" si="22"/>
        <v>0</v>
      </c>
      <c r="BC32" s="3">
        <f t="shared" si="23"/>
        <v>0</v>
      </c>
      <c r="BD32" s="3">
        <f t="shared" si="24"/>
        <v>0</v>
      </c>
      <c r="BE32" s="19">
        <f t="shared" si="14"/>
        <v>24469000</v>
      </c>
      <c r="BF32" s="595">
        <v>1.43</v>
      </c>
      <c r="BG32" s="596">
        <v>0.30499999999999999</v>
      </c>
      <c r="BH32" s="29"/>
      <c r="BI32" s="29">
        <f>Market!$H$16*$BF32*(1-(1/(1+$BG32)))</f>
        <v>0</v>
      </c>
      <c r="BJ32" s="29"/>
      <c r="BK32" s="29"/>
      <c r="BL32" s="3">
        <f t="shared" si="19"/>
        <v>0</v>
      </c>
      <c r="BM32" s="3">
        <f t="shared" si="19"/>
        <v>0</v>
      </c>
      <c r="BN32" s="3">
        <f t="shared" si="21"/>
        <v>0</v>
      </c>
      <c r="BO32" s="3">
        <f t="shared" si="15"/>
        <v>0</v>
      </c>
      <c r="BP32" s="538">
        <f t="shared" ref="BP32:BP34" si="27">0.0075*0.83</f>
        <v>6.2249999999999996E-3</v>
      </c>
      <c r="BS32" s="538">
        <v>0.02</v>
      </c>
      <c r="BT32" s="4"/>
      <c r="BU32" s="3">
        <f t="shared" si="25"/>
        <v>152000</v>
      </c>
      <c r="BV32" s="3">
        <f t="shared" si="25"/>
        <v>0</v>
      </c>
      <c r="BW32" s="3">
        <f t="shared" si="26"/>
        <v>0</v>
      </c>
      <c r="BX32" s="3">
        <f t="shared" si="17"/>
        <v>152000</v>
      </c>
      <c r="CA32" s="3">
        <f t="shared" si="18"/>
        <v>0</v>
      </c>
    </row>
    <row r="33" spans="1:79" x14ac:dyDescent="0.2">
      <c r="A33" t="s">
        <v>24</v>
      </c>
      <c r="B33" t="s">
        <v>398</v>
      </c>
      <c r="C33" s="89">
        <f>'Block Builder'!C14</f>
        <v>0</v>
      </c>
      <c r="D33" s="89">
        <f>'Block Builder'!D14</f>
        <v>0</v>
      </c>
      <c r="E33" s="89">
        <f>'Block Builder'!E14</f>
        <v>0</v>
      </c>
      <c r="F33" s="89">
        <f>'Block Builder'!F14</f>
        <v>0</v>
      </c>
      <c r="G33" s="89">
        <f>'Block Builder'!G14</f>
        <v>0</v>
      </c>
      <c r="H33" s="89">
        <f>'Block Builder'!H14</f>
        <v>0</v>
      </c>
      <c r="I33" s="185">
        <f t="shared" si="4"/>
        <v>0</v>
      </c>
      <c r="J33" s="3" cm="1">
        <f t="array" ref="J33">SUMPRODUCT(--('Building Summary'!$A$2:$A$23=Model!$B33),('Building Summary'!$P$2:$P$23))</f>
        <v>40000</v>
      </c>
      <c r="K33" s="3" cm="1">
        <f t="array" ref="K33">SUMPRODUCT(--('Building Summary'!$A$2:$A$23=Model!$B33),('Building Summary'!$R$2:$R$23))</f>
        <v>20000</v>
      </c>
      <c r="L33" s="19" cm="1">
        <f t="array" ref="L33">$I33*SUMPRODUCT(--(sBuilding=B33),(sBuilding_Cost))</f>
        <v>0</v>
      </c>
      <c r="M33" s="187">
        <f>IF($L33&gt;0,$L33*(AE33/$AM33),0)</f>
        <v>0</v>
      </c>
      <c r="N33" s="3"/>
      <c r="O33" s="3"/>
      <c r="P33" s="3"/>
      <c r="Q33" s="188"/>
      <c r="R33" s="188"/>
      <c r="S33" s="188"/>
      <c r="T33" s="188"/>
      <c r="U33" s="3">
        <f t="shared" si="6"/>
        <v>0</v>
      </c>
      <c r="V33" s="19">
        <f t="shared" si="7"/>
        <v>0</v>
      </c>
      <c r="W33" s="19"/>
      <c r="X33" s="19"/>
      <c r="Y33" s="19">
        <f t="shared" si="8"/>
        <v>0</v>
      </c>
      <c r="Z33" s="29">
        <f t="shared" si="9"/>
        <v>0</v>
      </c>
      <c r="AB33" s="19"/>
      <c r="AC33" s="19"/>
      <c r="AD33" s="21"/>
      <c r="AE33" s="3" cm="1">
        <f t="array" ref="AE33">$I33*SUMPRODUCT(--(sBuilding=$B33),(sOfficeSF))</f>
        <v>0</v>
      </c>
      <c r="AF33" s="3" cm="1">
        <f t="array" ref="AF33">(1-AA33)*$I33*SUMPRODUCT(--(sBuilding=$B33),(sResiSF))</f>
        <v>0</v>
      </c>
      <c r="AG33" s="3" cm="1">
        <f t="array" ref="AG33">AA33*$I33*SUMPRODUCT(--(sBuilding=$B33),(sResiSF))</f>
        <v>0</v>
      </c>
      <c r="AH33" s="3" cm="1">
        <f t="array" ref="AH33">$I33*SUMPRODUCT(--(sBuilding=$B33),(sRetailSF))</f>
        <v>0</v>
      </c>
      <c r="AI33" s="3" cm="1">
        <f t="array" ref="AI33">$I33*SUMPRODUCT(--(sBuilding=$B33),(sCommunitySF))</f>
        <v>0</v>
      </c>
      <c r="AJ33" s="3" cm="1">
        <f t="array" ref="AJ33">$I33*SUMPRODUCT(--(sBuilding=$B33),(sCommunity_Commercial_SF))</f>
        <v>0</v>
      </c>
      <c r="AK33" s="3" cm="1">
        <f t="array" ref="AK33">$I33*SUMPRODUCT(--(sBuilding=$B33),(sShelter_SF))</f>
        <v>0</v>
      </c>
      <c r="AL33" s="3" cm="1">
        <f t="array" ref="AL33">$I33*SUMPRODUCT(--(sBuilding=$B33),(sOpenSpace))</f>
        <v>0</v>
      </c>
      <c r="AM33" s="19">
        <f t="shared" si="12"/>
        <v>0</v>
      </c>
      <c r="AN33" s="19" cm="1">
        <f t="array" ref="AN33">$I33*SUMPRODUCT(--(sBuilding=$B33),(sParking_Surface))</f>
        <v>0</v>
      </c>
      <c r="AO33" s="19" cm="1">
        <f t="array" ref="AO33">$I33*SUMPRODUCT(--(sBuilding=$B33),(sParking_Structured))</f>
        <v>0</v>
      </c>
      <c r="AP33" s="19" cm="1">
        <f t="array" ref="AP33">$I33*SUMPRODUCT(--(sBuilding=$B33),(sParking_Subterranean))</f>
        <v>0</v>
      </c>
      <c r="AQ33" s="3" cm="1">
        <f t="array" ref="AQ33">$I33*SUMPRODUCT(--(sBuilding=$B33),(sParking_TotalUnits))</f>
        <v>0</v>
      </c>
      <c r="AR33" s="3" cm="1">
        <f t="array" ref="AR33">$I33*SUMPRODUCT(--(sBuilding=$B33),(sParking_Footprint))</f>
        <v>0</v>
      </c>
      <c r="AS33" s="655">
        <v>1.31</v>
      </c>
      <c r="AT33" s="655"/>
      <c r="AU33" s="655"/>
      <c r="AV33" s="645">
        <v>1.3</v>
      </c>
      <c r="AW33" s="655"/>
      <c r="AX33" s="655"/>
      <c r="AY33" s="3">
        <f>ROUND(M33*AS33,-3)</f>
        <v>0</v>
      </c>
      <c r="AZ33" s="3"/>
      <c r="BA33" s="3"/>
      <c r="BB33" s="3">
        <f t="shared" si="22"/>
        <v>0</v>
      </c>
      <c r="BC33" s="3">
        <f t="shared" si="23"/>
        <v>0</v>
      </c>
      <c r="BD33" s="3">
        <f t="shared" si="24"/>
        <v>0</v>
      </c>
      <c r="BE33" s="19">
        <f t="shared" si="14"/>
        <v>0</v>
      </c>
      <c r="BF33" s="595">
        <v>1.25</v>
      </c>
      <c r="BG33" s="596">
        <v>0.31</v>
      </c>
      <c r="BH33" s="29"/>
      <c r="BI33" s="29">
        <f>Market!$H$17*$BF33*(1-(1/(1+$BG33)))</f>
        <v>0</v>
      </c>
      <c r="BJ33" s="29"/>
      <c r="BK33" s="29"/>
      <c r="BL33" s="3">
        <f t="shared" si="19"/>
        <v>0</v>
      </c>
      <c r="BM33" s="3">
        <f t="shared" si="19"/>
        <v>0</v>
      </c>
      <c r="BN33" s="3">
        <f t="shared" si="21"/>
        <v>0</v>
      </c>
      <c r="BO33" s="3">
        <f t="shared" si="15"/>
        <v>0</v>
      </c>
      <c r="BP33" s="538">
        <f t="shared" si="27"/>
        <v>6.2249999999999996E-3</v>
      </c>
      <c r="BS33" s="538">
        <v>0.02</v>
      </c>
      <c r="BT33" s="4"/>
      <c r="BU33" s="3">
        <f t="shared" si="25"/>
        <v>0</v>
      </c>
      <c r="BV33" s="3">
        <f t="shared" si="25"/>
        <v>0</v>
      </c>
      <c r="BW33" s="3">
        <f t="shared" si="26"/>
        <v>0</v>
      </c>
      <c r="BX33" s="3">
        <f t="shared" si="17"/>
        <v>0</v>
      </c>
      <c r="CA33" s="3">
        <f t="shared" si="18"/>
        <v>0</v>
      </c>
    </row>
    <row r="34" spans="1:79" x14ac:dyDescent="0.2">
      <c r="A34" t="s">
        <v>24</v>
      </c>
      <c r="B34" t="s">
        <v>399</v>
      </c>
      <c r="C34" s="89">
        <f>'Block Builder'!C15</f>
        <v>1</v>
      </c>
      <c r="D34" s="89">
        <f>'Block Builder'!D15</f>
        <v>0</v>
      </c>
      <c r="E34" s="89">
        <f>'Block Builder'!E15</f>
        <v>0</v>
      </c>
      <c r="F34" s="89">
        <f>'Block Builder'!F15</f>
        <v>0</v>
      </c>
      <c r="G34" s="89">
        <f>'Block Builder'!G15</f>
        <v>0</v>
      </c>
      <c r="H34" s="89">
        <f>'Block Builder'!H15</f>
        <v>0</v>
      </c>
      <c r="I34" s="185">
        <f t="shared" si="4"/>
        <v>1</v>
      </c>
      <c r="J34" s="3" cm="1">
        <f t="array" ref="J34">SUMPRODUCT(--('Building Summary'!$A$2:$A$23=Model!$B34),('Building Summary'!$P$2:$P$23))</f>
        <v>20000</v>
      </c>
      <c r="K34" s="3" cm="1">
        <f t="array" ref="K34">SUMPRODUCT(--('Building Summary'!$A$2:$A$23=Model!$B34),('Building Summary'!$R$2:$R$23))</f>
        <v>0</v>
      </c>
      <c r="L34" s="19" cm="1">
        <f t="array" ref="L34">$I34*SUMPRODUCT(--(sBuilding=B34),(sBuilding_Cost))</f>
        <v>59100000</v>
      </c>
      <c r="M34" s="187">
        <f>IF($L34&gt;0,$L34*(AE34/$AM34),0)</f>
        <v>56736000</v>
      </c>
      <c r="N34" s="188"/>
      <c r="O34" s="188"/>
      <c r="P34" s="187">
        <f>IF($L34&gt;0,$L34*(AH34/$AM34),0)</f>
        <v>2364000</v>
      </c>
      <c r="Q34" s="188"/>
      <c r="R34" s="188"/>
      <c r="S34" s="188"/>
      <c r="T34" s="188"/>
      <c r="U34" s="3">
        <f t="shared" si="6"/>
        <v>0</v>
      </c>
      <c r="V34" s="19">
        <f t="shared" si="7"/>
        <v>0</v>
      </c>
      <c r="W34" s="19"/>
      <c r="X34" s="19"/>
      <c r="Y34" s="19">
        <f t="shared" si="8"/>
        <v>0</v>
      </c>
      <c r="Z34" s="29">
        <f t="shared" si="9"/>
        <v>0</v>
      </c>
      <c r="AB34" s="19"/>
      <c r="AC34" s="19"/>
      <c r="AD34" s="21"/>
      <c r="AE34" s="3" cm="1">
        <f t="array" ref="AE34">$I34*SUMPRODUCT(--(sBuilding=$B34),(sOfficeSF))</f>
        <v>120000</v>
      </c>
      <c r="AF34" s="3" cm="1">
        <f t="array" ref="AF34">(1-AA34)*$I34*SUMPRODUCT(--(sBuilding=$B34),(sResiSF))</f>
        <v>0</v>
      </c>
      <c r="AG34" s="3" cm="1">
        <f t="array" ref="AG34">AA34*$I34*SUMPRODUCT(--(sBuilding=$B34),(sResiSF))</f>
        <v>0</v>
      </c>
      <c r="AH34" s="3" cm="1">
        <f t="array" ref="AH34">$I34*SUMPRODUCT(--(sBuilding=$B34),(sRetailSF))</f>
        <v>5000</v>
      </c>
      <c r="AI34" s="3" cm="1">
        <f t="array" ref="AI34">$I34*SUMPRODUCT(--(sBuilding=$B34),(sCommunitySF))</f>
        <v>0</v>
      </c>
      <c r="AJ34" s="3" cm="1">
        <f t="array" ref="AJ34">$I34*SUMPRODUCT(--(sBuilding=$B34),(sCommunity_Commercial_SF))</f>
        <v>0</v>
      </c>
      <c r="AK34" s="3" cm="1">
        <f t="array" ref="AK34">$I34*SUMPRODUCT(--(sBuilding=$B34),(sShelter_SF))</f>
        <v>0</v>
      </c>
      <c r="AL34" s="3" cm="1">
        <f t="array" ref="AL34">$I34*SUMPRODUCT(--(sBuilding=$B34),(sOpenSpace))</f>
        <v>0</v>
      </c>
      <c r="AM34" s="19">
        <f t="shared" si="12"/>
        <v>125000</v>
      </c>
      <c r="AN34" s="19" cm="1">
        <f t="array" ref="AN34">$I34*SUMPRODUCT(--(sBuilding=$B34),(sParking_Surface))</f>
        <v>0</v>
      </c>
      <c r="AO34" s="19" cm="1">
        <f t="array" ref="AO34">$I34*SUMPRODUCT(--(sBuilding=$B34),(sParking_Structured))</f>
        <v>0</v>
      </c>
      <c r="AP34" s="19" cm="1">
        <f t="array" ref="AP34">$I34*SUMPRODUCT(--(sBuilding=$B34),(sParking_Subterranean))</f>
        <v>255</v>
      </c>
      <c r="AQ34" s="3" cm="1">
        <f t="array" ref="AQ34">$I34*SUMPRODUCT(--(sBuilding=$B34),(sParking_TotalUnits))</f>
        <v>255</v>
      </c>
      <c r="AR34" s="3" cm="1">
        <f t="array" ref="AR34">$I34*SUMPRODUCT(--(sBuilding=$B34),(sParking_Footprint))</f>
        <v>0</v>
      </c>
      <c r="AS34" s="655">
        <f>AS33*0.97</f>
        <v>1.2706999999999999</v>
      </c>
      <c r="AT34" s="655"/>
      <c r="AU34" s="655"/>
      <c r="AV34" s="655">
        <f>AV33*0.97</f>
        <v>1.2609999999999999</v>
      </c>
      <c r="AW34" s="655"/>
      <c r="AX34" s="655"/>
      <c r="AY34" s="3">
        <f>ROUND(M34*AS34,-3)</f>
        <v>72094000</v>
      </c>
      <c r="AZ34" s="3"/>
      <c r="BA34" s="3"/>
      <c r="BB34" s="3">
        <f t="shared" si="22"/>
        <v>2981000</v>
      </c>
      <c r="BC34" s="3">
        <f t="shared" si="23"/>
        <v>0</v>
      </c>
      <c r="BD34" s="3">
        <f t="shared" si="24"/>
        <v>0</v>
      </c>
      <c r="BE34" s="19">
        <f t="shared" si="14"/>
        <v>75075000</v>
      </c>
      <c r="BF34" s="595">
        <v>1.25</v>
      </c>
      <c r="BG34" s="596">
        <v>0.31</v>
      </c>
      <c r="BH34" s="29"/>
      <c r="BI34" s="29">
        <f>Market!$H$17*$BF34*(1-(1/(1+$BG34)))</f>
        <v>0</v>
      </c>
      <c r="BJ34" s="29"/>
      <c r="BK34" s="29"/>
      <c r="BL34" s="3">
        <f t="shared" si="19"/>
        <v>0</v>
      </c>
      <c r="BM34" s="3">
        <f t="shared" si="19"/>
        <v>0</v>
      </c>
      <c r="BN34" s="3">
        <f t="shared" si="21"/>
        <v>0</v>
      </c>
      <c r="BO34" s="3">
        <f t="shared" si="15"/>
        <v>0</v>
      </c>
      <c r="BP34" s="538">
        <f t="shared" si="27"/>
        <v>6.2249999999999996E-3</v>
      </c>
      <c r="BS34" s="538">
        <v>0.02</v>
      </c>
      <c r="BT34" s="4"/>
      <c r="BU34" s="3">
        <f t="shared" si="25"/>
        <v>449000</v>
      </c>
      <c r="BV34" s="3">
        <f t="shared" si="25"/>
        <v>0</v>
      </c>
      <c r="BW34" s="3">
        <f t="shared" si="26"/>
        <v>60000</v>
      </c>
      <c r="BX34" s="3">
        <f t="shared" si="17"/>
        <v>509000</v>
      </c>
      <c r="CA34" s="3">
        <f t="shared" si="18"/>
        <v>0</v>
      </c>
    </row>
    <row r="35" spans="1:79" x14ac:dyDescent="0.2">
      <c r="A35" t="s">
        <v>34</v>
      </c>
      <c r="B35" s="16" t="s">
        <v>35</v>
      </c>
      <c r="C35" s="89">
        <f>'Block Builder'!C17</f>
        <v>0</v>
      </c>
      <c r="D35" s="89">
        <f>'Block Builder'!D17</f>
        <v>0</v>
      </c>
      <c r="E35" s="89">
        <f>'Block Builder'!E17</f>
        <v>0</v>
      </c>
      <c r="F35" s="89">
        <f>'Block Builder'!F17</f>
        <v>0</v>
      </c>
      <c r="G35" s="89">
        <f>'Block Builder'!G17</f>
        <v>0</v>
      </c>
      <c r="H35" s="89">
        <f>'Block Builder'!H17</f>
        <v>0</v>
      </c>
      <c r="I35" s="185">
        <f t="shared" si="4"/>
        <v>0</v>
      </c>
      <c r="J35" s="3" cm="1">
        <f t="array" ref="J35">SUMPRODUCT(--('Building Summary'!$A$2:$A$23=Model!$B35),('Building Summary'!$P$2:$P$23))</f>
        <v>10000</v>
      </c>
      <c r="K35" s="3" cm="1">
        <f t="array" ref="K35">SUMPRODUCT(--('Building Summary'!$A$2:$A$23=Model!$B35),('Building Summary'!$R$2:$R$23))</f>
        <v>5000</v>
      </c>
      <c r="L35" s="19" cm="1">
        <f t="array" ref="L35">$I35*SUMPRODUCT(--(sBuilding=B35),(sBuilding_Cost))</f>
        <v>0</v>
      </c>
      <c r="M35" s="3"/>
      <c r="N35" s="3"/>
      <c r="O35" s="3"/>
      <c r="P35" s="187">
        <f>IF($L35&gt;0,$L35*(AH35/$AM35),0)</f>
        <v>0</v>
      </c>
      <c r="Q35" s="3"/>
      <c r="R35" s="3"/>
      <c r="S35" s="3"/>
      <c r="T35" s="3"/>
      <c r="U35" s="3">
        <f t="shared" si="6"/>
        <v>0</v>
      </c>
      <c r="V35" s="19">
        <f t="shared" si="7"/>
        <v>0</v>
      </c>
      <c r="W35" s="19"/>
      <c r="X35" s="19"/>
      <c r="Y35" s="19">
        <f t="shared" si="8"/>
        <v>0</v>
      </c>
      <c r="Z35" s="29">
        <f t="shared" si="9"/>
        <v>0</v>
      </c>
      <c r="AB35" s="19"/>
      <c r="AC35" s="19"/>
      <c r="AD35" s="21"/>
      <c r="AE35" s="3" cm="1">
        <f t="array" ref="AE35">$I35*SUMPRODUCT(--(sBuilding=$B35),(sOfficeSF))</f>
        <v>0</v>
      </c>
      <c r="AF35" s="3" cm="1">
        <f t="array" ref="AF35">(1-AA35)*$I35*SUMPRODUCT(--(sBuilding=$B35),(sResiSF))</f>
        <v>0</v>
      </c>
      <c r="AG35" s="3" cm="1">
        <f t="array" ref="AG35">AA35*$I35*SUMPRODUCT(--(sBuilding=$B35),(sResiSF))</f>
        <v>0</v>
      </c>
      <c r="AH35" s="3" cm="1">
        <f t="array" ref="AH35">$I35*SUMPRODUCT(--(sBuilding=$B35),(sRetailSF))</f>
        <v>0</v>
      </c>
      <c r="AI35" s="3" cm="1">
        <f t="array" ref="AI35">$I35*SUMPRODUCT(--(sBuilding=$B35),(sCommunitySF))</f>
        <v>0</v>
      </c>
      <c r="AJ35" s="3" cm="1">
        <f t="array" ref="AJ35">$I35*SUMPRODUCT(--(sBuilding=$B35),(sCommunity_Commercial_SF))</f>
        <v>0</v>
      </c>
      <c r="AK35" s="3" cm="1">
        <f t="array" ref="AK35">$I35*SUMPRODUCT(--(sBuilding=$B35),(sShelter_SF))</f>
        <v>0</v>
      </c>
      <c r="AL35" s="3" cm="1">
        <f t="array" ref="AL35">$I35*SUMPRODUCT(--(sBuilding=$B35),(sOpenSpace))</f>
        <v>0</v>
      </c>
      <c r="AM35" s="19">
        <f t="shared" si="12"/>
        <v>0</v>
      </c>
      <c r="AN35" s="19" cm="1">
        <f t="array" ref="AN35">$I35*SUMPRODUCT(--(sBuilding=$B35),(sParking_Surface))</f>
        <v>0</v>
      </c>
      <c r="AO35" s="19" cm="1">
        <f t="array" ref="AO35">$I35*SUMPRODUCT(--(sBuilding=$B35),(sParking_Structured))</f>
        <v>0</v>
      </c>
      <c r="AP35" s="19" cm="1">
        <f t="array" ref="AP35">$I35*SUMPRODUCT(--(sBuilding=$B35),(sParking_Subterranean))</f>
        <v>0</v>
      </c>
      <c r="AQ35" s="3" cm="1">
        <f t="array" ref="AQ35">$I35*SUMPRODUCT(--(sBuilding=$B35),(sParking_TotalUnits))</f>
        <v>0</v>
      </c>
      <c r="AR35" s="3" cm="1">
        <f t="array" ref="AR35">$I35*SUMPRODUCT(--(sBuilding=$B35),(sParking_Footprint))</f>
        <v>0</v>
      </c>
      <c r="AS35" s="655"/>
      <c r="AT35" s="655"/>
      <c r="AU35" s="655"/>
      <c r="AV35" s="655">
        <v>1.3</v>
      </c>
      <c r="AW35" s="655"/>
      <c r="AX35" s="655"/>
      <c r="AY35" s="3"/>
      <c r="AZ35" s="3"/>
      <c r="BA35" s="3"/>
      <c r="BB35" s="3">
        <f t="shared" si="22"/>
        <v>0</v>
      </c>
      <c r="BC35" s="3">
        <f t="shared" si="23"/>
        <v>0</v>
      </c>
      <c r="BD35" s="3">
        <f t="shared" si="24"/>
        <v>0</v>
      </c>
      <c r="BE35" s="19">
        <f t="shared" si="14"/>
        <v>0</v>
      </c>
      <c r="BF35" s="595">
        <v>1.4285714285714299</v>
      </c>
      <c r="BG35" s="596">
        <v>0.3</v>
      </c>
      <c r="BH35" s="29"/>
      <c r="BI35" s="29"/>
      <c r="BJ35" s="29"/>
      <c r="BK35" s="29">
        <f>Market!$H$25*$BF35*(1-(1/(1+$BG35)))</f>
        <v>0</v>
      </c>
      <c r="BL35" s="3">
        <f t="shared" si="19"/>
        <v>0</v>
      </c>
      <c r="BM35" s="3">
        <f t="shared" si="19"/>
        <v>0</v>
      </c>
      <c r="BN35" s="3">
        <f t="shared" si="21"/>
        <v>0</v>
      </c>
      <c r="BO35" s="3">
        <f t="shared" si="15"/>
        <v>0</v>
      </c>
      <c r="BP35" s="537"/>
      <c r="BS35" s="538">
        <v>0.02</v>
      </c>
      <c r="BT35" s="4"/>
      <c r="BU35" s="3"/>
      <c r="BV35" s="3">
        <f>ROUND(BQ35*AZ35,-3)</f>
        <v>0</v>
      </c>
      <c r="BW35" s="3">
        <f t="shared" si="26"/>
        <v>0</v>
      </c>
      <c r="BX35" s="3">
        <f t="shared" si="17"/>
        <v>0</v>
      </c>
      <c r="CA35" s="3">
        <f t="shared" si="18"/>
        <v>0</v>
      </c>
    </row>
    <row r="36" spans="1:79" x14ac:dyDescent="0.2">
      <c r="A36" t="s">
        <v>34</v>
      </c>
      <c r="B36" s="16" t="s">
        <v>37</v>
      </c>
      <c r="C36" s="89">
        <f>'Block Builder'!C18</f>
        <v>2</v>
      </c>
      <c r="D36" s="89">
        <f>'Block Builder'!D18</f>
        <v>2</v>
      </c>
      <c r="E36" s="89">
        <f>'Block Builder'!E18</f>
        <v>0</v>
      </c>
      <c r="F36" s="89">
        <f>'Block Builder'!F18</f>
        <v>0</v>
      </c>
      <c r="G36" s="89">
        <f>'Block Builder'!G18</f>
        <v>0</v>
      </c>
      <c r="H36" s="89">
        <f>'Block Builder'!H18</f>
        <v>0</v>
      </c>
      <c r="I36" s="185">
        <f t="shared" si="4"/>
        <v>4</v>
      </c>
      <c r="J36" s="3" cm="1">
        <f t="array" ref="J36">SUMPRODUCT(--('Building Summary'!$A$2:$A$23=Model!$B36),('Building Summary'!$P$2:$P$23))</f>
        <v>20000</v>
      </c>
      <c r="K36" s="3" cm="1">
        <f t="array" ref="K36">SUMPRODUCT(--('Building Summary'!$A$2:$A$23=Model!$B36),('Building Summary'!$R$2:$R$23))</f>
        <v>10000</v>
      </c>
      <c r="L36" s="19" cm="1">
        <f t="array" ref="L36">$I36*SUMPRODUCT(--(sBuilding=B36),(sBuilding_Cost))</f>
        <v>10000000</v>
      </c>
      <c r="M36" s="3"/>
      <c r="N36" s="3"/>
      <c r="O36" s="3"/>
      <c r="P36" s="187">
        <f>IF($L36&gt;0,$L36*(AH36/$AM36),0)</f>
        <v>10000000</v>
      </c>
      <c r="Q36" s="3"/>
      <c r="R36" s="3"/>
      <c r="S36" s="3"/>
      <c r="T36" s="3"/>
      <c r="U36" s="3">
        <f t="shared" si="6"/>
        <v>0</v>
      </c>
      <c r="V36" s="19">
        <f t="shared" si="7"/>
        <v>0</v>
      </c>
      <c r="W36" s="19"/>
      <c r="X36" s="19"/>
      <c r="Y36" s="19">
        <f t="shared" si="8"/>
        <v>0</v>
      </c>
      <c r="Z36" s="29">
        <f t="shared" si="9"/>
        <v>0</v>
      </c>
      <c r="AB36" s="19"/>
      <c r="AC36" s="19"/>
      <c r="AD36" s="21"/>
      <c r="AE36" s="3" cm="1">
        <f t="array" ref="AE36">$I36*SUMPRODUCT(--(sBuilding=$B36),(sOfficeSF))</f>
        <v>0</v>
      </c>
      <c r="AF36" s="3" cm="1">
        <f t="array" ref="AF36">(1-AA36)*$I36*SUMPRODUCT(--(sBuilding=$B36),(sResiSF))</f>
        <v>0</v>
      </c>
      <c r="AG36" s="3" cm="1">
        <f t="array" ref="AG36">AA36*$I36*SUMPRODUCT(--(sBuilding=$B36),(sResiSF))</f>
        <v>0</v>
      </c>
      <c r="AH36" s="3" cm="1">
        <f t="array" ref="AH36">$I36*SUMPRODUCT(--(sBuilding=$B36),(sRetailSF))</f>
        <v>40000</v>
      </c>
      <c r="AI36" s="3" cm="1">
        <f t="array" ref="AI36">$I36*SUMPRODUCT(--(sBuilding=$B36),(sCommunitySF))</f>
        <v>0</v>
      </c>
      <c r="AJ36" s="3" cm="1">
        <f t="array" ref="AJ36">$I36*SUMPRODUCT(--(sBuilding=$B36),(sCommunity_Commercial_SF))</f>
        <v>0</v>
      </c>
      <c r="AK36" s="3" cm="1">
        <f t="array" ref="AK36">$I36*SUMPRODUCT(--(sBuilding=$B36),(sShelter_SF))</f>
        <v>0</v>
      </c>
      <c r="AL36" s="3" cm="1">
        <f t="array" ref="AL36">$I36*SUMPRODUCT(--(sBuilding=$B36),(sOpenSpace))</f>
        <v>0</v>
      </c>
      <c r="AM36" s="19">
        <f t="shared" si="12"/>
        <v>40000</v>
      </c>
      <c r="AN36" s="19" cm="1">
        <f t="array" ref="AN36">$I36*SUMPRODUCT(--(sBuilding=$B36),(sParking_Surface))</f>
        <v>120</v>
      </c>
      <c r="AO36" s="19" cm="1">
        <f t="array" ref="AO36">$I36*SUMPRODUCT(--(sBuilding=$B36),(sParking_Structured))</f>
        <v>0</v>
      </c>
      <c r="AP36" s="19" cm="1">
        <f t="array" ref="AP36">$I36*SUMPRODUCT(--(sBuilding=$B36),(sParking_Subterranean))</f>
        <v>0</v>
      </c>
      <c r="AQ36" s="3" cm="1">
        <f t="array" ref="AQ36">$I36*SUMPRODUCT(--(sBuilding=$B36),(sParking_TotalUnits))</f>
        <v>120</v>
      </c>
      <c r="AR36" s="3" cm="1">
        <f t="array" ref="AR36">$I36*SUMPRODUCT(--(sBuilding=$B36),(sParking_Footprint))</f>
        <v>40000</v>
      </c>
      <c r="AS36" s="655"/>
      <c r="AT36" s="655"/>
      <c r="AU36" s="655"/>
      <c r="AV36" s="655">
        <v>1.3</v>
      </c>
      <c r="AW36" s="655"/>
      <c r="AX36" s="655"/>
      <c r="AY36" s="3"/>
      <c r="AZ36" s="3"/>
      <c r="BA36" s="3"/>
      <c r="BB36" s="3">
        <f t="shared" si="22"/>
        <v>13000000</v>
      </c>
      <c r="BC36" s="3">
        <f t="shared" si="23"/>
        <v>0</v>
      </c>
      <c r="BD36" s="3">
        <f t="shared" si="24"/>
        <v>0</v>
      </c>
      <c r="BE36" s="19">
        <f t="shared" si="14"/>
        <v>13000000</v>
      </c>
      <c r="BF36" s="595">
        <v>1.4285714285714299</v>
      </c>
      <c r="BG36" s="596">
        <v>0.3</v>
      </c>
      <c r="BH36" s="29"/>
      <c r="BI36" s="29"/>
      <c r="BJ36" s="29"/>
      <c r="BK36" s="29">
        <f>Market!$H$25*$BF36*(1-(1/(1+$BG36)))</f>
        <v>0</v>
      </c>
      <c r="BL36" s="3">
        <f t="shared" si="19"/>
        <v>0</v>
      </c>
      <c r="BM36" s="3">
        <f t="shared" si="19"/>
        <v>0</v>
      </c>
      <c r="BN36" s="3">
        <f t="shared" si="21"/>
        <v>0</v>
      </c>
      <c r="BO36" s="3">
        <f t="shared" si="15"/>
        <v>0</v>
      </c>
      <c r="BP36" s="537"/>
      <c r="BS36" s="538">
        <v>0.02</v>
      </c>
      <c r="BT36" s="4"/>
      <c r="BU36" s="3"/>
      <c r="BV36" s="3">
        <f>ROUND(BQ36*AZ36,-3)</f>
        <v>0</v>
      </c>
      <c r="BW36" s="3">
        <f t="shared" si="26"/>
        <v>260000</v>
      </c>
      <c r="BX36" s="3">
        <f t="shared" si="17"/>
        <v>260000</v>
      </c>
      <c r="CA36" s="3">
        <f t="shared" si="18"/>
        <v>0</v>
      </c>
    </row>
    <row r="37" spans="1:79" x14ac:dyDescent="0.2">
      <c r="A37" t="s">
        <v>34</v>
      </c>
      <c r="B37" t="s">
        <v>39</v>
      </c>
      <c r="C37" s="89">
        <f>'Block Builder'!C19</f>
        <v>0</v>
      </c>
      <c r="D37" s="89">
        <f>'Block Builder'!D19</f>
        <v>0</v>
      </c>
      <c r="E37" s="89">
        <f>'Block Builder'!E19</f>
        <v>0</v>
      </c>
      <c r="F37" s="89">
        <f>'Block Builder'!F19</f>
        <v>0</v>
      </c>
      <c r="G37" s="89">
        <f>'Block Builder'!G19</f>
        <v>1</v>
      </c>
      <c r="H37" s="89">
        <f>'Block Builder'!H19</f>
        <v>0</v>
      </c>
      <c r="I37" s="185">
        <f t="shared" si="4"/>
        <v>1</v>
      </c>
      <c r="J37" s="3" cm="1">
        <f t="array" ref="J37">SUMPRODUCT(--('Building Summary'!$A$2:$A$23=Model!$B37),('Building Summary'!$P$2:$P$23))</f>
        <v>50000</v>
      </c>
      <c r="K37" s="3" cm="1">
        <f t="array" ref="K37">SUMPRODUCT(--('Building Summary'!$A$2:$A$23=Model!$B37),('Building Summary'!$R$2:$R$23))</f>
        <v>10000</v>
      </c>
      <c r="L37" s="19" cm="1">
        <f t="array" ref="L37">$I37*SUMPRODUCT(--(sBuilding=B37),(sBuilding_Cost))</f>
        <v>11500000</v>
      </c>
      <c r="M37" s="3"/>
      <c r="N37" s="3"/>
      <c r="O37" s="3"/>
      <c r="P37" s="187">
        <f>IF($L37&gt;0,$L37*(AH37/$AM37),0)</f>
        <v>11500000</v>
      </c>
      <c r="Q37" s="3"/>
      <c r="R37" s="3"/>
      <c r="S37" s="3"/>
      <c r="T37" s="3"/>
      <c r="U37" s="3">
        <f t="shared" si="6"/>
        <v>0</v>
      </c>
      <c r="V37" s="19">
        <f t="shared" si="7"/>
        <v>0</v>
      </c>
      <c r="W37" s="19"/>
      <c r="X37" s="19"/>
      <c r="Y37" s="19">
        <f t="shared" si="8"/>
        <v>0</v>
      </c>
      <c r="Z37" s="29">
        <f t="shared" si="9"/>
        <v>0</v>
      </c>
      <c r="AB37" s="19"/>
      <c r="AC37" s="19"/>
      <c r="AD37" s="21"/>
      <c r="AE37" s="3" cm="1">
        <f t="array" ref="AE37">$I37*SUMPRODUCT(--(sBuilding=$B37),(sOfficeSF))</f>
        <v>0</v>
      </c>
      <c r="AF37" s="3" cm="1">
        <f t="array" ref="AF37">(1-AA37)*$I37*SUMPRODUCT(--(sBuilding=$B37),(sResiSF))</f>
        <v>0</v>
      </c>
      <c r="AG37" s="3" cm="1">
        <f t="array" ref="AG37">AA37*$I37*SUMPRODUCT(--(sBuilding=$B37),(sResiSF))</f>
        <v>0</v>
      </c>
      <c r="AH37" s="3" cm="1">
        <f t="array" ref="AH37">$I37*SUMPRODUCT(--(sBuilding=$B37),(sRetailSF))</f>
        <v>40000</v>
      </c>
      <c r="AI37" s="3" cm="1">
        <f t="array" ref="AI37">$I37*SUMPRODUCT(--(sBuilding=$B37),(sCommunitySF))</f>
        <v>0</v>
      </c>
      <c r="AJ37" s="3" cm="1">
        <f t="array" ref="AJ37">$I37*SUMPRODUCT(--(sBuilding=$B37),(sCommunity_Commercial_SF))</f>
        <v>0</v>
      </c>
      <c r="AK37" s="3" cm="1">
        <f t="array" ref="AK37">$I37*SUMPRODUCT(--(sBuilding=$B37),(sShelter_SF))</f>
        <v>0</v>
      </c>
      <c r="AL37" s="3" cm="1">
        <f t="array" ref="AL37">$I37*SUMPRODUCT(--(sBuilding=$B37),(sOpenSpace))</f>
        <v>0</v>
      </c>
      <c r="AM37" s="19">
        <f t="shared" si="12"/>
        <v>40000</v>
      </c>
      <c r="AN37" s="19" cm="1">
        <f t="array" ref="AN37">$I37*SUMPRODUCT(--(sBuilding=$B37),(sParking_Surface))</f>
        <v>32</v>
      </c>
      <c r="AO37" s="19" cm="1">
        <f t="array" ref="AO37">$I37*SUMPRODUCT(--(sBuilding=$B37),(sParking_Structured))</f>
        <v>0</v>
      </c>
      <c r="AP37" s="19" cm="1">
        <f t="array" ref="AP37">$I37*SUMPRODUCT(--(sBuilding=$B37),(sParking_Subterranean))</f>
        <v>128</v>
      </c>
      <c r="AQ37" s="3" cm="1">
        <f t="array" ref="AQ37">$I37*SUMPRODUCT(--(sBuilding=$B37),(sParking_TotalUnits))</f>
        <v>160</v>
      </c>
      <c r="AR37" s="3" cm="1">
        <f t="array" ref="AR37">$I37*SUMPRODUCT(--(sBuilding=$B37),(sParking_Footprint))</f>
        <v>10000</v>
      </c>
      <c r="AS37" s="655"/>
      <c r="AT37" s="655"/>
      <c r="AU37" s="655"/>
      <c r="AV37" s="655">
        <v>1.3586739960000001</v>
      </c>
      <c r="AW37" s="655"/>
      <c r="AX37" s="655"/>
      <c r="AY37" s="3"/>
      <c r="AZ37" s="3"/>
      <c r="BA37" s="3"/>
      <c r="BB37" s="3">
        <f t="shared" si="22"/>
        <v>15625000</v>
      </c>
      <c r="BC37" s="3">
        <f t="shared" si="23"/>
        <v>0</v>
      </c>
      <c r="BD37" s="3">
        <f t="shared" si="24"/>
        <v>0</v>
      </c>
      <c r="BE37" s="19">
        <f t="shared" si="14"/>
        <v>15625000</v>
      </c>
      <c r="BF37" s="595">
        <v>1.3333333333333299</v>
      </c>
      <c r="BG37" s="596">
        <v>0.3</v>
      </c>
      <c r="BH37" s="29"/>
      <c r="BI37" s="29"/>
      <c r="BJ37" s="29"/>
      <c r="BK37" s="29">
        <f>Market!$H$26*$BF37*(1-(1/(1+$BG37)))</f>
        <v>0</v>
      </c>
      <c r="BL37" s="3">
        <f t="shared" si="19"/>
        <v>0</v>
      </c>
      <c r="BM37" s="3">
        <f t="shared" si="19"/>
        <v>0</v>
      </c>
      <c r="BN37" s="3">
        <f t="shared" si="21"/>
        <v>0</v>
      </c>
      <c r="BO37" s="3">
        <f t="shared" si="15"/>
        <v>0</v>
      </c>
      <c r="BP37" s="537"/>
      <c r="BS37" s="538">
        <v>8.3000000000000001E-3</v>
      </c>
      <c r="BT37" s="4"/>
      <c r="BU37" s="3"/>
      <c r="BV37" s="3">
        <f>ROUND(BQ37*AZ37,-3)</f>
        <v>0</v>
      </c>
      <c r="BW37" s="3">
        <f t="shared" si="26"/>
        <v>130000</v>
      </c>
      <c r="BX37" s="3">
        <f t="shared" si="17"/>
        <v>130000</v>
      </c>
      <c r="CA37" s="3">
        <f t="shared" si="18"/>
        <v>0</v>
      </c>
    </row>
    <row r="38" spans="1:79" x14ac:dyDescent="0.2">
      <c r="A38" t="s">
        <v>34</v>
      </c>
      <c r="B38" t="s">
        <v>41</v>
      </c>
      <c r="C38" s="89">
        <f>'Block Builder'!C20</f>
        <v>0</v>
      </c>
      <c r="D38" s="89">
        <f>'Block Builder'!D20</f>
        <v>0</v>
      </c>
      <c r="E38" s="89">
        <f>'Block Builder'!E20</f>
        <v>0</v>
      </c>
      <c r="F38" s="89">
        <f>'Block Builder'!F20</f>
        <v>0</v>
      </c>
      <c r="G38" s="89">
        <f>'Block Builder'!G20</f>
        <v>0</v>
      </c>
      <c r="H38" s="89">
        <f>'Block Builder'!H20</f>
        <v>0</v>
      </c>
      <c r="I38" s="185">
        <f t="shared" si="4"/>
        <v>0</v>
      </c>
      <c r="J38" s="3" cm="1">
        <f t="array" ref="J38">SUMPRODUCT(--('Building Summary'!$A$2:$A$23=Model!$B38),('Building Summary'!$P$2:$P$23))</f>
        <v>100000</v>
      </c>
      <c r="K38" s="3" cm="1">
        <f t="array" ref="K38">SUMPRODUCT(--('Building Summary'!$A$2:$A$23=Model!$B38),('Building Summary'!$R$2:$R$23))</f>
        <v>20000</v>
      </c>
      <c r="L38" s="19" cm="1">
        <f t="array" ref="L38">$I38*SUMPRODUCT(--(sBuilding=B38),(sBuilding_Cost))</f>
        <v>0</v>
      </c>
      <c r="M38" s="3"/>
      <c r="N38" s="3"/>
      <c r="O38" s="3"/>
      <c r="P38" s="187">
        <f>IF($L38&gt;0,$L38*(AH38/$AM38),0)</f>
        <v>0</v>
      </c>
      <c r="Q38" s="3"/>
      <c r="R38" s="3"/>
      <c r="S38" s="3"/>
      <c r="T38" s="3"/>
      <c r="U38" s="3">
        <f t="shared" si="6"/>
        <v>0</v>
      </c>
      <c r="V38" s="19">
        <f t="shared" si="7"/>
        <v>0</v>
      </c>
      <c r="W38" s="19"/>
      <c r="X38" s="19"/>
      <c r="Y38" s="19">
        <f t="shared" si="8"/>
        <v>0</v>
      </c>
      <c r="Z38" s="29">
        <f t="shared" si="9"/>
        <v>0</v>
      </c>
      <c r="AB38" s="19"/>
      <c r="AC38" s="19"/>
      <c r="AD38" s="21"/>
      <c r="AE38" s="3" cm="1">
        <f t="array" ref="AE38">$I38*SUMPRODUCT(--(sBuilding=$B38),(sOfficeSF))</f>
        <v>0</v>
      </c>
      <c r="AF38" s="3" cm="1">
        <f t="array" ref="AF38">(1-AA38)*$I38*SUMPRODUCT(--(sBuilding=$B38),(sResiSF))</f>
        <v>0</v>
      </c>
      <c r="AG38" s="3" cm="1">
        <f t="array" ref="AG38">AA38*$I38*SUMPRODUCT(--(sBuilding=$B38),(sResiSF))</f>
        <v>0</v>
      </c>
      <c r="AH38" s="3" cm="1">
        <f t="array" ref="AH38">$I38*SUMPRODUCT(--(sBuilding=$B38),(sRetailSF))</f>
        <v>0</v>
      </c>
      <c r="AI38" s="3" cm="1">
        <f t="array" ref="AI38">$I38*SUMPRODUCT(--(sBuilding=$B38),(sCommunitySF))</f>
        <v>0</v>
      </c>
      <c r="AJ38" s="3" cm="1">
        <f t="array" ref="AJ38">$I38*SUMPRODUCT(--(sBuilding=$B38),(sCommunity_Commercial_SF))</f>
        <v>0</v>
      </c>
      <c r="AK38" s="3" cm="1">
        <f t="array" ref="AK38">$I38*SUMPRODUCT(--(sBuilding=$B38),(sShelter_SF))</f>
        <v>0</v>
      </c>
      <c r="AL38" s="3" cm="1">
        <f t="array" ref="AL38">$I38*SUMPRODUCT(--(sBuilding=$B38),(sOpenSpace))</f>
        <v>0</v>
      </c>
      <c r="AM38" s="19">
        <f t="shared" si="12"/>
        <v>0</v>
      </c>
      <c r="AN38" s="19" cm="1">
        <f t="array" ref="AN38">$I38*SUMPRODUCT(--(sBuilding=$B38),(sParking_Surface))</f>
        <v>0</v>
      </c>
      <c r="AO38" s="19" cm="1">
        <f t="array" ref="AO38">$I38*SUMPRODUCT(--(sBuilding=$B38),(sParking_Structured))</f>
        <v>0</v>
      </c>
      <c r="AP38" s="19" cm="1">
        <f t="array" ref="AP38">$I38*SUMPRODUCT(--(sBuilding=$B38),(sParking_Subterranean))</f>
        <v>0</v>
      </c>
      <c r="AQ38" s="3" cm="1">
        <f t="array" ref="AQ38">$I38*SUMPRODUCT(--(sBuilding=$B38),(sParking_TotalUnits))</f>
        <v>0</v>
      </c>
      <c r="AR38" s="3" cm="1">
        <f t="array" ref="AR38">$I38*SUMPRODUCT(--(sBuilding=$B38),(sParking_Footprint))</f>
        <v>0</v>
      </c>
      <c r="AS38" s="655"/>
      <c r="AT38" s="655"/>
      <c r="AU38" s="655"/>
      <c r="AV38" s="655">
        <v>1.3</v>
      </c>
      <c r="AW38" s="655"/>
      <c r="AX38" s="655"/>
      <c r="AY38" s="3"/>
      <c r="AZ38" s="3"/>
      <c r="BA38" s="3"/>
      <c r="BB38" s="3">
        <f t="shared" si="22"/>
        <v>0</v>
      </c>
      <c r="BC38" s="3">
        <f t="shared" si="23"/>
        <v>0</v>
      </c>
      <c r="BD38" s="3">
        <f t="shared" si="24"/>
        <v>0</v>
      </c>
      <c r="BE38" s="19">
        <f t="shared" si="14"/>
        <v>0</v>
      </c>
      <c r="BF38" s="595">
        <v>1.3333333333333299</v>
      </c>
      <c r="BG38" s="596">
        <v>0.3</v>
      </c>
      <c r="BH38" s="29"/>
      <c r="BI38" s="29"/>
      <c r="BJ38" s="29"/>
      <c r="BK38" s="29">
        <f>Market!$H$27*$BF38*(1-(1/(1+$BG38)))</f>
        <v>0</v>
      </c>
      <c r="BL38" s="3">
        <f t="shared" si="19"/>
        <v>0</v>
      </c>
      <c r="BM38" s="3">
        <f t="shared" si="19"/>
        <v>0</v>
      </c>
      <c r="BN38" s="3">
        <f t="shared" si="21"/>
        <v>0</v>
      </c>
      <c r="BO38" s="3">
        <f t="shared" si="15"/>
        <v>0</v>
      </c>
      <c r="BP38" s="537"/>
      <c r="BS38" s="538">
        <v>1.4999999999999999E-2</v>
      </c>
      <c r="BT38" s="4"/>
      <c r="BU38" s="3"/>
      <c r="BV38" s="3">
        <f>ROUND(BQ38*AZ38,-3)</f>
        <v>0</v>
      </c>
      <c r="BW38" s="3">
        <f t="shared" si="26"/>
        <v>0</v>
      </c>
      <c r="BX38" s="3">
        <f t="shared" si="17"/>
        <v>0</v>
      </c>
      <c r="CA38" s="3">
        <f t="shared" si="18"/>
        <v>0</v>
      </c>
    </row>
    <row r="39" spans="1:79" x14ac:dyDescent="0.2">
      <c r="A39" t="s">
        <v>43</v>
      </c>
      <c r="B39" t="s">
        <v>400</v>
      </c>
      <c r="C39" s="89"/>
      <c r="D39" s="89">
        <f>IF(AND('Use Allocation'!E10="rehab",'Use Allocation'!E11="shelter"),1,0)</f>
        <v>0</v>
      </c>
      <c r="E39" s="89"/>
      <c r="F39" s="89"/>
      <c r="G39" s="89"/>
      <c r="H39" s="89"/>
      <c r="I39" s="185">
        <f>SUM(C39:H39)</f>
        <v>0</v>
      </c>
      <c r="J39" s="3" cm="1">
        <f t="array" ref="J39">SUMPRODUCT(--('Building Summary'!$A$2:$A$23=Model!$B39),('Building Summary'!$P$2:$P$23))</f>
        <v>20000</v>
      </c>
      <c r="K39" s="3" cm="1">
        <f t="array" ref="K39">SUMPRODUCT(--('Building Summary'!$A$2:$A$23=Model!$B39),('Building Summary'!$R$2:$R$23))</f>
        <v>0</v>
      </c>
      <c r="L39" s="19" cm="1">
        <f t="array" ref="L39">$I39*SUMPRODUCT(--(sBuilding=B39),(sBuilding_Cost))</f>
        <v>0</v>
      </c>
      <c r="M39" s="3"/>
      <c r="N39" s="3"/>
      <c r="O39" s="3"/>
      <c r="P39" s="3"/>
      <c r="Q39" s="3"/>
      <c r="R39" s="3"/>
      <c r="S39" s="187">
        <f>IF($L39&gt;0,$L39*(AK39/$AM39),0)</f>
        <v>0</v>
      </c>
      <c r="T39" s="3"/>
      <c r="U39" s="3">
        <f t="shared" si="6"/>
        <v>0</v>
      </c>
      <c r="V39" s="19">
        <f t="shared" si="7"/>
        <v>0</v>
      </c>
      <c r="W39" s="19"/>
      <c r="X39" s="19"/>
      <c r="Y39" s="19">
        <f>SUM(V39:X39)</f>
        <v>0</v>
      </c>
      <c r="Z39" s="29">
        <f t="shared" si="9"/>
        <v>0</v>
      </c>
      <c r="AA39" s="26"/>
      <c r="AB39" s="19">
        <f t="shared" ref="AB39" si="28">AD39-AC39</f>
        <v>0</v>
      </c>
      <c r="AC39" s="19">
        <f>ROUND(AD39*AA39,0)</f>
        <v>0</v>
      </c>
      <c r="AD39" s="21" cm="1">
        <f t="array" ref="AD39">I39*SUMPRODUCT(--(sBuilding=$B39),(sResiUnitCount))</f>
        <v>0</v>
      </c>
      <c r="AE39" s="3" cm="1">
        <f t="array" ref="AE39">$I39*SUMPRODUCT(--(sBuilding=$B39),(sOfficeSF))</f>
        <v>0</v>
      </c>
      <c r="AF39" s="3" cm="1">
        <f t="array" ref="AF39">(1-AA39)*$I39*SUMPRODUCT(--(sBuilding=$B39),(sResiSF))</f>
        <v>0</v>
      </c>
      <c r="AG39" s="3" cm="1">
        <f t="array" ref="AG39">AA39*$I39*SUMPRODUCT(--(sBuilding=$B39),(sResiSF))</f>
        <v>0</v>
      </c>
      <c r="AH39" s="3" cm="1">
        <f t="array" ref="AH39">$I39*SUMPRODUCT(--(sBuilding=$B39),(sRetailSF))</f>
        <v>0</v>
      </c>
      <c r="AI39" s="3" cm="1">
        <f t="array" ref="AI39">$I39*SUMPRODUCT(--(sBuilding=$B39),(sCommunitySF))</f>
        <v>0</v>
      </c>
      <c r="AJ39" s="3" cm="1">
        <f t="array" ref="AJ39">$I39*SUMPRODUCT(--(sBuilding=$B39),(sCommunity_Commercial_SF))</f>
        <v>0</v>
      </c>
      <c r="AK39" s="3" cm="1">
        <f t="array" ref="AK39">$I39*SUMPRODUCT(--(sBuilding=$B39),(sShelter_SF))</f>
        <v>0</v>
      </c>
      <c r="AL39" s="3" cm="1">
        <f t="array" ref="AL39">$I39*SUMPRODUCT(--(sBuilding=$B39),(sOpenSpace))</f>
        <v>0</v>
      </c>
      <c r="AM39" s="19">
        <f t="shared" ref="AM39" si="29">SUM(AE39:AK39)</f>
        <v>0</v>
      </c>
      <c r="AN39" s="19" cm="1">
        <f t="array" ref="AN39">$I39*SUMPRODUCT(--(sBuilding=$B39),(sParking_Surface))</f>
        <v>0</v>
      </c>
      <c r="AO39" s="19" cm="1">
        <f t="array" ref="AO39">$I39*SUMPRODUCT(--(sBuilding=$B39),(sParking_Structured))</f>
        <v>0</v>
      </c>
      <c r="AP39" s="19" cm="1">
        <f t="array" ref="AP39">$I39*SUMPRODUCT(--(sBuilding=$B39),(sParking_Subterranean))</f>
        <v>0</v>
      </c>
      <c r="AQ39" s="3" cm="1">
        <f t="array" ref="AQ39">$I39*SUMPRODUCT(--(sBuilding=$B39),(sParking_TotalUnits))</f>
        <v>0</v>
      </c>
      <c r="AR39" s="3" cm="1">
        <f t="array" ref="AR39">$I39*SUMPRODUCT(--(sBuilding=$B39),(sParking_Footprint))</f>
        <v>0</v>
      </c>
      <c r="AS39" s="655"/>
      <c r="AT39" s="645"/>
      <c r="AU39" s="645"/>
      <c r="AV39" s="655"/>
      <c r="AW39" s="645"/>
      <c r="AX39" s="645"/>
      <c r="AY39" s="3"/>
      <c r="AZ39" s="3"/>
      <c r="BA39" s="3"/>
      <c r="BB39" s="3">
        <f t="shared" si="22"/>
        <v>0</v>
      </c>
      <c r="BC39" s="3">
        <f t="shared" si="23"/>
        <v>0</v>
      </c>
      <c r="BD39" s="3">
        <f t="shared" si="24"/>
        <v>0</v>
      </c>
      <c r="BE39" s="19">
        <f t="shared" si="14"/>
        <v>0</v>
      </c>
      <c r="BF39" s="595"/>
      <c r="BG39" s="596"/>
      <c r="BH39" s="29"/>
      <c r="BI39" s="29"/>
      <c r="BJ39" s="29"/>
      <c r="BK39" s="29"/>
      <c r="BL39" s="3"/>
      <c r="BM39" s="3"/>
      <c r="BN39" s="3"/>
      <c r="BO39" s="3"/>
      <c r="BP39" s="538"/>
      <c r="BR39" s="3"/>
      <c r="BS39" s="538"/>
      <c r="BT39" s="4"/>
      <c r="BU39" s="3"/>
      <c r="BV39" s="3"/>
      <c r="BW39" s="3"/>
      <c r="BX39" s="3">
        <f>SUM(BT39:BW39)</f>
        <v>0</v>
      </c>
      <c r="CA39" s="3">
        <f t="shared" si="18"/>
        <v>0</v>
      </c>
    </row>
    <row r="40" spans="1:79" x14ac:dyDescent="0.2">
      <c r="A40" t="s">
        <v>43</v>
      </c>
      <c r="B40" t="s">
        <v>401</v>
      </c>
      <c r="C40" s="89"/>
      <c r="D40" s="89">
        <f>IF(AND('Use Allocation'!E10="rehab",'Use Allocation'!E11="Mixed Use"),1,0)</f>
        <v>0</v>
      </c>
      <c r="E40" s="89"/>
      <c r="F40" s="89"/>
      <c r="G40" s="89"/>
      <c r="H40" s="89"/>
      <c r="I40" s="185">
        <f t="shared" si="4"/>
        <v>0</v>
      </c>
      <c r="J40" s="3" cm="1">
        <f t="array" ref="J40">SUMPRODUCT(--('Building Summary'!$A$2:$A$23=Model!$B40),('Building Summary'!$P$2:$P$23))</f>
        <v>20000</v>
      </c>
      <c r="K40" s="3" cm="1">
        <f t="array" ref="K40">SUMPRODUCT(--('Building Summary'!$A$2:$A$23=Model!$B40),('Building Summary'!$R$2:$R$23))</f>
        <v>0</v>
      </c>
      <c r="L40" s="19" cm="1">
        <f t="array" ref="L40">$I40*SUMPRODUCT(--(sBuilding=B40),(sBuilding_Cost))</f>
        <v>0</v>
      </c>
      <c r="M40" s="187">
        <f t="shared" ref="M40:R42" si="30">IF($L40&gt;0,$L40*(AE40/$AM40),0)</f>
        <v>0</v>
      </c>
      <c r="N40" s="187">
        <f t="shared" si="30"/>
        <v>0</v>
      </c>
      <c r="O40" s="187">
        <f t="shared" si="30"/>
        <v>0</v>
      </c>
      <c r="P40" s="187">
        <f t="shared" si="30"/>
        <v>0</v>
      </c>
      <c r="Q40" s="187">
        <f t="shared" si="30"/>
        <v>0</v>
      </c>
      <c r="R40" s="187">
        <f t="shared" si="30"/>
        <v>0</v>
      </c>
      <c r="S40" s="188"/>
      <c r="T40" s="188"/>
      <c r="U40" s="3">
        <f t="shared" si="6"/>
        <v>0</v>
      </c>
      <c r="V40" s="19">
        <f t="shared" si="7"/>
        <v>0</v>
      </c>
      <c r="W40" s="19"/>
      <c r="X40" s="19"/>
      <c r="Y40" s="19">
        <f t="shared" si="8"/>
        <v>0</v>
      </c>
      <c r="Z40" s="29">
        <f t="shared" si="9"/>
        <v>0</v>
      </c>
      <c r="AA40" s="31">
        <f>'Use Allocation'!$E$7</f>
        <v>0.05</v>
      </c>
      <c r="AB40" s="19">
        <f t="shared" si="10"/>
        <v>0</v>
      </c>
      <c r="AC40" s="19">
        <f t="shared" ref="AC40:AC41" si="31">ROUND(AD40*AA40,0)</f>
        <v>0</v>
      </c>
      <c r="AD40" s="21" cm="1">
        <f t="array" ref="AD40">I40*SUMPRODUCT(--(sBuilding=$B40),(sResiUnitCount))</f>
        <v>0</v>
      </c>
      <c r="AE40" s="3" cm="1">
        <f t="array" ref="AE40">$I40*SUMPRODUCT(--(sBuilding=$B40),(sOfficeSF))</f>
        <v>0</v>
      </c>
      <c r="AF40" s="3" cm="1">
        <f t="array" ref="AF40">(1-AA40)*$I40*SUMPRODUCT(--(sBuilding=$B40),(sResiSF))</f>
        <v>0</v>
      </c>
      <c r="AG40" s="3" cm="1">
        <f t="array" ref="AG40">AA40*$I40*SUMPRODUCT(--(sBuilding=$B40),(sResiSF))</f>
        <v>0</v>
      </c>
      <c r="AH40" s="3" cm="1">
        <f t="array" ref="AH40">$I40*SUMPRODUCT(--(sBuilding=$B40),(sRetailSF))</f>
        <v>0</v>
      </c>
      <c r="AI40" s="3" cm="1">
        <f t="array" ref="AI40">$I40*SUMPRODUCT(--(sBuilding=$B40),(sCommunitySF))</f>
        <v>0</v>
      </c>
      <c r="AJ40" s="3" cm="1">
        <f t="array" ref="AJ40">$I40*SUMPRODUCT(--(sBuilding=$B40),(sCommunity_Commercial_SF))</f>
        <v>0</v>
      </c>
      <c r="AK40" s="3" cm="1">
        <f t="array" ref="AK40">$I40*SUMPRODUCT(--(sBuilding=$B40),(sShelter_SF))</f>
        <v>0</v>
      </c>
      <c r="AL40" s="3" cm="1">
        <f t="array" ref="AL40">$I40*SUMPRODUCT(--(sBuilding=$B40),(sOpenSpace))</f>
        <v>0</v>
      </c>
      <c r="AM40" s="19">
        <f t="shared" si="12"/>
        <v>0</v>
      </c>
      <c r="AN40" s="19" cm="1">
        <f t="array" ref="AN40">$I40*SUMPRODUCT(--(sBuilding=$B40),(sParking_Surface))</f>
        <v>0</v>
      </c>
      <c r="AO40" s="19" cm="1">
        <f t="array" ref="AO40">$I40*SUMPRODUCT(--(sBuilding=$B40),(sParking_Structured))</f>
        <v>0</v>
      </c>
      <c r="AP40" s="19" cm="1">
        <f t="array" ref="AP40">$I40*SUMPRODUCT(--(sBuilding=$B40),(sParking_Subterranean))</f>
        <v>0</v>
      </c>
      <c r="AQ40" s="3" cm="1">
        <f t="array" ref="AQ40">$I40*SUMPRODUCT(--(sBuilding=$B40),(sParking_TotalUnits))</f>
        <v>0</v>
      </c>
      <c r="AR40" s="3" cm="1">
        <f t="array" ref="AR40">$I40*SUMPRODUCT(--(sBuilding=$B40),(sParking_Footprint))</f>
        <v>0</v>
      </c>
      <c r="AS40" s="655">
        <v>1.25</v>
      </c>
      <c r="AT40" s="645">
        <v>1.32</v>
      </c>
      <c r="AU40" s="645">
        <v>0.4</v>
      </c>
      <c r="AV40" s="655">
        <v>1.3</v>
      </c>
      <c r="AW40" s="645"/>
      <c r="AX40" s="645"/>
      <c r="AY40" s="3">
        <f t="shared" ref="AY40:BA42" si="32">ROUND(M40*AS40,-3)</f>
        <v>0</v>
      </c>
      <c r="AZ40" s="3">
        <f t="shared" si="32"/>
        <v>0</v>
      </c>
      <c r="BA40" s="3">
        <f t="shared" si="32"/>
        <v>0</v>
      </c>
      <c r="BB40" s="3">
        <f t="shared" si="22"/>
        <v>0</v>
      </c>
      <c r="BC40" s="3">
        <f t="shared" si="23"/>
        <v>0</v>
      </c>
      <c r="BD40" s="3">
        <f t="shared" si="24"/>
        <v>0</v>
      </c>
      <c r="BE40" s="19">
        <f t="shared" si="14"/>
        <v>0</v>
      </c>
      <c r="BF40" s="595"/>
      <c r="BG40" s="596"/>
      <c r="BH40" s="29"/>
      <c r="BI40" s="29"/>
      <c r="BJ40" s="29"/>
      <c r="BK40" s="29"/>
      <c r="BL40" s="3"/>
      <c r="BM40" s="3"/>
      <c r="BN40" s="3"/>
      <c r="BO40" s="3"/>
      <c r="BP40" s="538">
        <f t="shared" ref="BP40:BQ40" si="33">0.0075*0.83</f>
        <v>6.2249999999999996E-3</v>
      </c>
      <c r="BQ40" s="538">
        <f t="shared" si="33"/>
        <v>6.2249999999999996E-3</v>
      </c>
      <c r="BR40" s="3">
        <v>0</v>
      </c>
      <c r="BS40" s="538">
        <v>0.02</v>
      </c>
      <c r="BT40" s="538"/>
      <c r="BU40" s="3">
        <f t="shared" ref="BU40:BV42" si="34">ROUND(BP40*AY40,-3)</f>
        <v>0</v>
      </c>
      <c r="BV40" s="3">
        <f t="shared" si="34"/>
        <v>0</v>
      </c>
      <c r="BW40" s="3">
        <f>ROUND(BS40*BB40,-3)</f>
        <v>0</v>
      </c>
      <c r="BX40" s="3">
        <f t="shared" si="17"/>
        <v>0</v>
      </c>
      <c r="CA40" s="3">
        <f t="shared" si="18"/>
        <v>0</v>
      </c>
    </row>
    <row r="41" spans="1:79" x14ac:dyDescent="0.2">
      <c r="A41" t="s">
        <v>43</v>
      </c>
      <c r="B41" t="s">
        <v>49</v>
      </c>
      <c r="C41" s="89"/>
      <c r="D41" s="89"/>
      <c r="E41" s="89">
        <v>1</v>
      </c>
      <c r="F41" s="89"/>
      <c r="G41" s="89"/>
      <c r="H41" s="89"/>
      <c r="I41" s="185">
        <f t="shared" si="4"/>
        <v>1</v>
      </c>
      <c r="J41" s="3" cm="1">
        <f t="array" ref="J41">SUMPRODUCT(--('Building Summary'!$A$2:$A$23=Model!$B41),('Building Summary'!$P$2:$P$23))</f>
        <v>20000</v>
      </c>
      <c r="K41" s="3" cm="1">
        <f t="array" ref="K41">SUMPRODUCT(--('Building Summary'!$A$2:$A$23=Model!$B41),('Building Summary'!$R$2:$R$23))</f>
        <v>0</v>
      </c>
      <c r="L41" s="19" cm="1">
        <f t="array" ref="L41">$I41*SUMPRODUCT(--(sBuilding=B41),(sBuilding_Cost))</f>
        <v>12000000</v>
      </c>
      <c r="M41" s="187">
        <f t="shared" si="30"/>
        <v>875000</v>
      </c>
      <c r="N41" s="187">
        <f t="shared" si="30"/>
        <v>8550000</v>
      </c>
      <c r="O41" s="187">
        <f t="shared" si="30"/>
        <v>450000</v>
      </c>
      <c r="P41" s="187">
        <f t="shared" si="30"/>
        <v>1250000</v>
      </c>
      <c r="Q41" s="187">
        <f t="shared" si="30"/>
        <v>875000</v>
      </c>
      <c r="R41" s="187">
        <f t="shared" si="30"/>
        <v>0</v>
      </c>
      <c r="S41" s="188"/>
      <c r="T41" s="188"/>
      <c r="U41" s="3">
        <f t="shared" si="6"/>
        <v>0</v>
      </c>
      <c r="V41" s="19">
        <f t="shared" si="7"/>
        <v>68000</v>
      </c>
      <c r="W41" s="19"/>
      <c r="X41" s="19">
        <f>ROUND(IFERROR(AI41/AM41,0)*$C$6*L41,-3)</f>
        <v>131000</v>
      </c>
      <c r="Y41" s="19">
        <f t="shared" si="8"/>
        <v>199000</v>
      </c>
      <c r="Z41" s="29">
        <f t="shared" si="9"/>
        <v>1.6583333333333332E-2</v>
      </c>
      <c r="AA41" s="31">
        <f>'Use Allocation'!$E$7</f>
        <v>0.05</v>
      </c>
      <c r="AB41" s="19">
        <f t="shared" si="10"/>
        <v>28</v>
      </c>
      <c r="AC41" s="19">
        <f t="shared" si="31"/>
        <v>2</v>
      </c>
      <c r="AD41" s="21" cm="1">
        <f t="array" ref="AD41">I41*SUMPRODUCT(--(sBuilding=$B41),(sResiUnitCount))</f>
        <v>30</v>
      </c>
      <c r="AE41" s="3" cm="1">
        <f t="array" ref="AE41">$I41*SUMPRODUCT(--(sBuilding=$B41),(sOfficeSF))</f>
        <v>3500</v>
      </c>
      <c r="AF41" s="3" cm="1">
        <f t="array" ref="AF41">(1-AA41)*$I41*SUMPRODUCT(--(sBuilding=$B41),(sResiSF))</f>
        <v>34200</v>
      </c>
      <c r="AG41" s="3" cm="1">
        <f t="array" ref="AG41">AA41*$I41*SUMPRODUCT(--(sBuilding=$B41),(sResiSF))</f>
        <v>1800</v>
      </c>
      <c r="AH41" s="3" cm="1">
        <f t="array" ref="AH41">$I41*SUMPRODUCT(--(sBuilding=$B41),(sRetailSF))</f>
        <v>5000</v>
      </c>
      <c r="AI41" s="3" cm="1">
        <f t="array" ref="AI41">$I41*SUMPRODUCT(--(sBuilding=$B41),(sCommunitySF))</f>
        <v>3500</v>
      </c>
      <c r="AJ41" s="3" cm="1">
        <f t="array" ref="AJ41">$I41*SUMPRODUCT(--(sBuilding=$B41),(sCommunity_Commercial_SF))</f>
        <v>0</v>
      </c>
      <c r="AK41" s="3" cm="1">
        <f t="array" ref="AK41">$I41*SUMPRODUCT(--(sBuilding=$B41),(sShelter_SF))</f>
        <v>0</v>
      </c>
      <c r="AL41" s="3" cm="1">
        <f t="array" ref="AL41">$I41*SUMPRODUCT(--(sBuilding=$B41),(sOpenSpace))</f>
        <v>0</v>
      </c>
      <c r="AM41" s="19">
        <f t="shared" si="12"/>
        <v>48000</v>
      </c>
      <c r="AN41" s="19" cm="1">
        <f t="array" ref="AN41">$I41*SUMPRODUCT(--(sBuilding=$B41),(sParking_Surface))</f>
        <v>0</v>
      </c>
      <c r="AO41" s="19" cm="1">
        <f t="array" ref="AO41">$I41*SUMPRODUCT(--(sBuilding=$B41),(sParking_Structured))</f>
        <v>0</v>
      </c>
      <c r="AP41" s="19" cm="1">
        <f t="array" ref="AP41">$I41*SUMPRODUCT(--(sBuilding=$B41),(sParking_Subterranean))</f>
        <v>0</v>
      </c>
      <c r="AQ41" s="3" cm="1">
        <f t="array" ref="AQ41">$I41*SUMPRODUCT(--(sBuilding=$B41),(sParking_TotalUnits))</f>
        <v>0</v>
      </c>
      <c r="AR41" s="3" cm="1">
        <f t="array" ref="AR41">$I41*SUMPRODUCT(--(sBuilding=$B41),(sParking_Footprint))</f>
        <v>0</v>
      </c>
      <c r="AS41" s="655">
        <v>1.25</v>
      </c>
      <c r="AT41" s="645">
        <v>1.32</v>
      </c>
      <c r="AU41" s="645">
        <v>0.4</v>
      </c>
      <c r="AV41" s="655">
        <v>1.3</v>
      </c>
      <c r="AW41" s="645">
        <v>0.7</v>
      </c>
      <c r="AX41" s="645">
        <v>0</v>
      </c>
      <c r="AY41" s="3">
        <f t="shared" si="32"/>
        <v>1094000</v>
      </c>
      <c r="AZ41" s="3">
        <f t="shared" si="32"/>
        <v>11286000</v>
      </c>
      <c r="BA41" s="3">
        <f t="shared" si="32"/>
        <v>180000</v>
      </c>
      <c r="BB41" s="3">
        <f t="shared" si="22"/>
        <v>1625000</v>
      </c>
      <c r="BC41" s="3">
        <f t="shared" si="23"/>
        <v>613000</v>
      </c>
      <c r="BD41" s="3">
        <f t="shared" si="24"/>
        <v>0</v>
      </c>
      <c r="BE41" s="19">
        <f t="shared" si="14"/>
        <v>14798000</v>
      </c>
      <c r="BF41" s="595"/>
      <c r="BG41" s="596"/>
      <c r="BH41" s="29"/>
      <c r="BI41" s="29"/>
      <c r="BJ41" s="29"/>
      <c r="BK41" s="29"/>
      <c r="BL41" s="3"/>
      <c r="BM41" s="3"/>
      <c r="BN41" s="3"/>
      <c r="BO41" s="3"/>
      <c r="BP41" s="538">
        <f>0.0065*0.83</f>
        <v>5.3949999999999996E-3</v>
      </c>
      <c r="BQ41" s="538">
        <f t="shared" ref="BQ41:BQ42" si="35">0.0075*0.83</f>
        <v>6.2249999999999996E-3</v>
      </c>
      <c r="BR41" s="3">
        <v>0</v>
      </c>
      <c r="BS41" s="538">
        <v>0.02</v>
      </c>
      <c r="BT41" s="538">
        <v>0.01</v>
      </c>
      <c r="BU41" s="3">
        <f t="shared" si="34"/>
        <v>6000</v>
      </c>
      <c r="BV41" s="3">
        <f t="shared" si="34"/>
        <v>70000</v>
      </c>
      <c r="BW41" s="3">
        <f>ROUND(BS41*BB41,-3)</f>
        <v>33000</v>
      </c>
      <c r="BX41" s="3">
        <f t="shared" si="17"/>
        <v>109000.01</v>
      </c>
      <c r="BY41">
        <f>0.75/10</f>
        <v>7.4999999999999997E-2</v>
      </c>
      <c r="BZ41" s="3">
        <f>ROUND(BC41*BY41,-3)</f>
        <v>46000</v>
      </c>
      <c r="CA41" s="3">
        <f t="shared" si="18"/>
        <v>0</v>
      </c>
    </row>
    <row r="42" spans="1:79" x14ac:dyDescent="0.2">
      <c r="A42" t="s">
        <v>43</v>
      </c>
      <c r="B42" s="16" t="s">
        <v>402</v>
      </c>
      <c r="C42" s="89"/>
      <c r="D42" s="89"/>
      <c r="E42" s="89"/>
      <c r="F42" s="89">
        <f>IF('Block Builder'!F24="rehab",1,0)</f>
        <v>1</v>
      </c>
      <c r="G42" s="89"/>
      <c r="H42" s="89"/>
      <c r="I42" s="185">
        <f>SUM(C42:H42)</f>
        <v>1</v>
      </c>
      <c r="J42" s="3" cm="1">
        <f t="array" ref="J42">SUMPRODUCT(--('Building Summary'!$A$2:$A$23=Model!$B42),('Building Summary'!$P$2:$P$23))</f>
        <v>40000</v>
      </c>
      <c r="K42" s="3" cm="1">
        <f t="array" ref="K42">SUMPRODUCT(--('Building Summary'!$A$2:$A$23=Model!$B42),('Building Summary'!$R$2:$R$23))</f>
        <v>0</v>
      </c>
      <c r="L42" s="19" cm="1">
        <f t="array" ref="L42">$I42*SUMPRODUCT(--(sBuilding=B42),(sBuilding_Cost))</f>
        <v>18750000</v>
      </c>
      <c r="M42" s="187">
        <f t="shared" si="30"/>
        <v>2500000</v>
      </c>
      <c r="N42" s="187">
        <f t="shared" si="30"/>
        <v>11875000</v>
      </c>
      <c r="O42" s="187">
        <f t="shared" si="30"/>
        <v>625000</v>
      </c>
      <c r="P42" s="187">
        <f t="shared" si="30"/>
        <v>1250000</v>
      </c>
      <c r="Q42" s="187">
        <f t="shared" si="30"/>
        <v>0</v>
      </c>
      <c r="R42" s="187">
        <f t="shared" si="30"/>
        <v>2500000</v>
      </c>
      <c r="S42" s="188"/>
      <c r="T42" s="188"/>
      <c r="U42" s="3">
        <f t="shared" si="6"/>
        <v>0</v>
      </c>
      <c r="V42" s="19">
        <f t="shared" si="7"/>
        <v>94000</v>
      </c>
      <c r="W42" s="19"/>
      <c r="X42" s="19"/>
      <c r="Y42" s="19">
        <f>SUM(V42:X42)</f>
        <v>94000</v>
      </c>
      <c r="Z42" s="29">
        <f t="shared" si="9"/>
        <v>5.0133333333333332E-3</v>
      </c>
      <c r="AA42" s="31">
        <f>'Use Allocation'!$E$7</f>
        <v>0.05</v>
      </c>
      <c r="AB42" s="19">
        <f>AD42-AC42</f>
        <v>38</v>
      </c>
      <c r="AC42" s="19">
        <f>ROUND(AD42*AA42,0)</f>
        <v>2</v>
      </c>
      <c r="AD42" s="21" cm="1">
        <f t="array" ref="AD42">I42*SUMPRODUCT(--(sBuilding=$B42),(sResiUnitCount))</f>
        <v>40</v>
      </c>
      <c r="AE42" s="3" cm="1">
        <f t="array" ref="AE42">$I42*SUMPRODUCT(--(sBuilding=$B42),(sOfficeSF))</f>
        <v>10000</v>
      </c>
      <c r="AF42" s="3" cm="1">
        <f t="array" ref="AF42">(1-AA42)*$I42*SUMPRODUCT(--(sBuilding=$B42),(sResiSF))</f>
        <v>47500</v>
      </c>
      <c r="AG42" s="3" cm="1">
        <f t="array" ref="AG42">AA42*$I42*SUMPRODUCT(--(sBuilding=$B42),(sResiSF))</f>
        <v>2500</v>
      </c>
      <c r="AH42" s="3" cm="1">
        <f t="array" ref="AH42">$I42*SUMPRODUCT(--(sBuilding=$B42),(sRetailSF))</f>
        <v>5000</v>
      </c>
      <c r="AI42" s="3" cm="1">
        <f t="array" ref="AI42">$I42*SUMPRODUCT(--(sBuilding=$B42),(sCommunitySF))</f>
        <v>0</v>
      </c>
      <c r="AJ42" s="3" cm="1">
        <f t="array" ref="AJ42">$I42*SUMPRODUCT(--(sBuilding=$B42),(sCommunity_Commercial_SF))</f>
        <v>10000</v>
      </c>
      <c r="AK42" s="3" cm="1">
        <f t="array" ref="AK42">$I42*SUMPRODUCT(--(sBuilding=$B42),(sShelter_SF))</f>
        <v>0</v>
      </c>
      <c r="AL42" s="3" cm="1">
        <f t="array" ref="AL42">$I42*SUMPRODUCT(--(sBuilding=$B42),(sOpenSpace))</f>
        <v>0</v>
      </c>
      <c r="AM42" s="19">
        <f>SUM(AE42:AK42)</f>
        <v>75000</v>
      </c>
      <c r="AN42" s="19" cm="1">
        <f t="array" ref="AN42">$I42*SUMPRODUCT(--(sBuilding=$B42),(sParking_Surface))</f>
        <v>0</v>
      </c>
      <c r="AO42" s="19" cm="1">
        <f t="array" ref="AO42">$I42*SUMPRODUCT(--(sBuilding=$B42),(sParking_Structured))</f>
        <v>0</v>
      </c>
      <c r="AP42" s="19" cm="1">
        <f t="array" ref="AP42">$I42*SUMPRODUCT(--(sBuilding=$B42),(sParking_Subterranean))</f>
        <v>0</v>
      </c>
      <c r="AQ42" s="3" cm="1">
        <f t="array" ref="AQ42">$I42*SUMPRODUCT(--(sBuilding=$B42),(sParking_TotalUnits))</f>
        <v>0</v>
      </c>
      <c r="AR42" s="3" cm="1">
        <f t="array" ref="AR42">$I42*SUMPRODUCT(--(sBuilding=$B42),(sParking_Footprint))</f>
        <v>0</v>
      </c>
      <c r="AS42" s="655">
        <v>1.2</v>
      </c>
      <c r="AT42" s="645">
        <v>1.27</v>
      </c>
      <c r="AU42" s="645">
        <v>0.4</v>
      </c>
      <c r="AV42" s="655">
        <v>1.25</v>
      </c>
      <c r="AW42" s="645">
        <v>0.7</v>
      </c>
      <c r="AX42" s="645">
        <v>0</v>
      </c>
      <c r="AY42" s="3">
        <f t="shared" si="32"/>
        <v>3000000</v>
      </c>
      <c r="AZ42" s="3">
        <f t="shared" si="32"/>
        <v>15081000</v>
      </c>
      <c r="BA42" s="3">
        <f t="shared" si="32"/>
        <v>250000</v>
      </c>
      <c r="BB42" s="3">
        <f t="shared" si="22"/>
        <v>1563000</v>
      </c>
      <c r="BC42" s="3">
        <f t="shared" si="23"/>
        <v>0</v>
      </c>
      <c r="BD42" s="3">
        <f t="shared" si="24"/>
        <v>0</v>
      </c>
      <c r="BE42" s="19">
        <f t="shared" si="14"/>
        <v>19894000</v>
      </c>
      <c r="BF42" s="595"/>
      <c r="BG42" s="596"/>
      <c r="BH42" s="29"/>
      <c r="BI42" s="29"/>
      <c r="BJ42" s="29"/>
      <c r="BK42" s="29"/>
      <c r="BL42" s="3"/>
      <c r="BM42" s="3"/>
      <c r="BN42" s="3"/>
      <c r="BO42" s="3"/>
      <c r="BP42" s="538">
        <f>0.0065*0.83</f>
        <v>5.3949999999999996E-3</v>
      </c>
      <c r="BQ42" s="538">
        <f t="shared" si="35"/>
        <v>6.2249999999999996E-3</v>
      </c>
      <c r="BR42" s="3">
        <v>0</v>
      </c>
      <c r="BS42" s="538">
        <v>0.02</v>
      </c>
      <c r="BT42" s="538">
        <v>0.01</v>
      </c>
      <c r="BU42" s="3">
        <f t="shared" si="34"/>
        <v>16000</v>
      </c>
      <c r="BV42" s="3">
        <f t="shared" si="34"/>
        <v>94000</v>
      </c>
      <c r="BW42" s="3">
        <f>ROUND(BS42*BB42,-3)</f>
        <v>31000</v>
      </c>
      <c r="BX42" s="3">
        <f>SUM(BT42:BW42)</f>
        <v>141000.01</v>
      </c>
      <c r="CA42" s="3">
        <f t="shared" si="18"/>
        <v>0</v>
      </c>
    </row>
    <row r="43" spans="1:79" x14ac:dyDescent="0.2">
      <c r="A43" t="s">
        <v>54</v>
      </c>
      <c r="B43" t="s">
        <v>403</v>
      </c>
      <c r="C43" s="89">
        <f>'Block Builder'!C28</f>
        <v>0</v>
      </c>
      <c r="D43" s="89">
        <f>'Block Builder'!D28</f>
        <v>2</v>
      </c>
      <c r="E43" s="89">
        <f>'Block Builder'!E28</f>
        <v>0</v>
      </c>
      <c r="F43" s="89">
        <f>'Block Builder'!F28</f>
        <v>0</v>
      </c>
      <c r="G43" s="89">
        <f>'Block Builder'!G28</f>
        <v>0</v>
      </c>
      <c r="H43" s="89">
        <f>'Block Builder'!H28</f>
        <v>2</v>
      </c>
      <c r="I43" s="185">
        <f t="shared" si="4"/>
        <v>4</v>
      </c>
      <c r="J43" s="3" cm="1">
        <f t="array" ref="J43">SUMPRODUCT(--('Building Summary'!$A$2:$A$23=Model!$B43),('Building Summary'!$P$2:$P$23))</f>
        <v>5000</v>
      </c>
      <c r="K43" s="3" cm="1">
        <f t="array" ref="K43">SUMPRODUCT(--('Building Summary'!$A$2:$A$23=Model!$B43),('Building Summary'!$R$2:$R$23))</f>
        <v>0</v>
      </c>
      <c r="L43" s="19" cm="1">
        <f t="array" ref="L43">$I43*SUMPRODUCT(--(sBuilding=B43),(sBuilding_Cost))</f>
        <v>1850000</v>
      </c>
      <c r="M43" s="3"/>
      <c r="N43" s="3"/>
      <c r="O43" s="3"/>
      <c r="P43" s="3"/>
      <c r="Q43" s="3"/>
      <c r="R43" s="3"/>
      <c r="S43" s="3"/>
      <c r="V43" s="19">
        <f t="shared" si="7"/>
        <v>0</v>
      </c>
      <c r="W43" s="19">
        <f>ROUND(L43*$C$5,-3)</f>
        <v>925000</v>
      </c>
      <c r="X43" s="19"/>
      <c r="Y43" s="19">
        <f t="shared" si="8"/>
        <v>925000</v>
      </c>
      <c r="Z43" s="29">
        <f t="shared" si="9"/>
        <v>0.5</v>
      </c>
      <c r="AA43" s="26"/>
      <c r="AB43" s="19"/>
      <c r="AC43" s="19"/>
      <c r="AD43" s="21"/>
      <c r="AE43" s="3"/>
      <c r="AF43" s="3"/>
      <c r="AG43" s="3"/>
      <c r="AH43" s="3"/>
      <c r="AI43" s="3"/>
      <c r="AJ43" s="3"/>
      <c r="AK43" s="3"/>
      <c r="AL43" s="3" cm="1">
        <f t="array" ref="AL43">$I43*SUMPRODUCT(--(sBuilding=$B43),(sOpenSpace))</f>
        <v>20000</v>
      </c>
      <c r="AM43" s="19"/>
      <c r="AN43" s="19" cm="1">
        <f t="array" ref="AN43">$I43*SUMPRODUCT(--(sBuilding=$B43),(sParking_Surface))</f>
        <v>0</v>
      </c>
      <c r="AO43" s="19" cm="1">
        <f t="array" ref="AO43">$I43*SUMPRODUCT(--(sBuilding=$B43),(sParking_Structured))</f>
        <v>0</v>
      </c>
      <c r="AP43" s="19" cm="1">
        <f t="array" ref="AP43">$I43*SUMPRODUCT(--(sBuilding=$B43),(sParking_Subterranean))</f>
        <v>0</v>
      </c>
      <c r="AQ43" s="3" cm="1">
        <f t="array" ref="AQ43">$I43*SUMPRODUCT(--(sBuilding=$B43),(sParking_TotalUnits))</f>
        <v>0</v>
      </c>
      <c r="AR43" s="3" cm="1">
        <f t="array" ref="AR43">$I43*SUMPRODUCT(--(sBuilding=$B43),(sParking_Footprint))</f>
        <v>0</v>
      </c>
      <c r="AS43" s="647"/>
      <c r="AT43" s="647"/>
      <c r="AU43" s="647"/>
      <c r="AV43" s="647"/>
      <c r="AW43" s="647"/>
      <c r="AX43" s="647"/>
      <c r="AY43" s="3"/>
      <c r="AZ43" s="3"/>
      <c r="BA43" s="3"/>
      <c r="BB43" s="3"/>
      <c r="BC43" s="3">
        <f t="shared" ref="BC43:BD45" si="36">ROUND(Q43*AW43,-3)</f>
        <v>0</v>
      </c>
      <c r="BD43" s="3">
        <f t="shared" si="36"/>
        <v>0</v>
      </c>
      <c r="BE43" s="19">
        <f t="shared" si="14"/>
        <v>0</v>
      </c>
      <c r="BF43" s="595"/>
      <c r="BG43" s="596"/>
      <c r="BH43" s="29"/>
      <c r="BI43" s="29"/>
      <c r="BJ43" s="29"/>
      <c r="BK43" s="29"/>
      <c r="BL43" s="29"/>
      <c r="BM43" s="29"/>
      <c r="BN43" s="29"/>
      <c r="BO43" s="3">
        <f t="shared" si="15"/>
        <v>0</v>
      </c>
      <c r="BP43" s="537"/>
      <c r="BT43" s="4"/>
      <c r="BU43" s="3">
        <f>ROUND(BP43*AY43,-3)</f>
        <v>0</v>
      </c>
      <c r="BV43" s="3"/>
      <c r="BW43" s="3"/>
      <c r="BX43" s="3"/>
      <c r="BY43" s="51">
        <v>2.7E-2</v>
      </c>
      <c r="BZ43" s="3">
        <f>L43*BY43</f>
        <v>49950</v>
      </c>
      <c r="CA43" s="3"/>
    </row>
    <row r="44" spans="1:79" x14ac:dyDescent="0.2">
      <c r="A44" t="s">
        <v>54</v>
      </c>
      <c r="B44" t="s">
        <v>404</v>
      </c>
      <c r="C44" s="89">
        <f>'Block Builder'!C29</f>
        <v>0</v>
      </c>
      <c r="D44" s="89">
        <f>'Block Builder'!D29</f>
        <v>0</v>
      </c>
      <c r="E44" s="89">
        <f>'Block Builder'!E29</f>
        <v>0</v>
      </c>
      <c r="F44" s="89">
        <f>'Block Builder'!F29</f>
        <v>0</v>
      </c>
      <c r="G44" s="89">
        <f>'Block Builder'!G29</f>
        <v>1</v>
      </c>
      <c r="H44" s="89">
        <f>'Block Builder'!H29</f>
        <v>0</v>
      </c>
      <c r="I44" s="185">
        <f t="shared" si="4"/>
        <v>1</v>
      </c>
      <c r="J44" s="3" cm="1">
        <f t="array" ref="J44">SUMPRODUCT(--('Building Summary'!$A$2:$A$23=Model!$B44),('Building Summary'!$P$2:$P$23))</f>
        <v>10000</v>
      </c>
      <c r="K44" s="3" cm="1">
        <f t="array" ref="K44">SUMPRODUCT(--('Building Summary'!$A$2:$A$23=Model!$B44),('Building Summary'!$R$2:$R$23))</f>
        <v>0</v>
      </c>
      <c r="L44" s="19" cm="1">
        <f t="array" ref="L44">$I44*SUMPRODUCT(--(sBuilding=B44),(sBuilding_Cost))</f>
        <v>975000</v>
      </c>
      <c r="M44" s="3"/>
      <c r="N44" s="3"/>
      <c r="O44" s="3"/>
      <c r="P44" s="3"/>
      <c r="Q44" s="3"/>
      <c r="R44" s="3"/>
      <c r="S44" s="3"/>
      <c r="V44" s="19">
        <f t="shared" si="7"/>
        <v>0</v>
      </c>
      <c r="W44" s="19">
        <f>ROUND(L44*$C$5,-3)</f>
        <v>488000</v>
      </c>
      <c r="X44" s="19"/>
      <c r="Y44" s="19">
        <f t="shared" si="8"/>
        <v>488000</v>
      </c>
      <c r="Z44" s="29">
        <f t="shared" si="9"/>
        <v>0.50051282051282053</v>
      </c>
      <c r="AA44" s="26"/>
      <c r="AB44" s="19"/>
      <c r="AC44" s="19"/>
      <c r="AD44" s="21"/>
      <c r="AE44" s="3"/>
      <c r="AF44" s="3"/>
      <c r="AG44" s="3"/>
      <c r="AH44" s="3"/>
      <c r="AI44" s="3"/>
      <c r="AJ44" s="3"/>
      <c r="AK44" s="3"/>
      <c r="AL44" s="3" cm="1">
        <f t="array" ref="AL44">$I44*SUMPRODUCT(--(sBuilding=$B44),(sOpenSpace))</f>
        <v>10000</v>
      </c>
      <c r="AM44" s="19"/>
      <c r="AN44" s="19" cm="1">
        <f t="array" ref="AN44">$I44*SUMPRODUCT(--(sBuilding=$B44),(sParking_Surface))</f>
        <v>0</v>
      </c>
      <c r="AO44" s="19" cm="1">
        <f t="array" ref="AO44">$I44*SUMPRODUCT(--(sBuilding=$B44),(sParking_Structured))</f>
        <v>0</v>
      </c>
      <c r="AP44" s="19" cm="1">
        <f t="array" ref="AP44">$I44*SUMPRODUCT(--(sBuilding=$B44),(sParking_Subterranean))</f>
        <v>0</v>
      </c>
      <c r="AQ44" s="3" cm="1">
        <f t="array" ref="AQ44">$I44*SUMPRODUCT(--(sBuilding=$B44),(sParking_TotalUnits))</f>
        <v>0</v>
      </c>
      <c r="AR44" s="3" cm="1">
        <f t="array" ref="AR44">$I44*SUMPRODUCT(--(sBuilding=$B44),(sParking_Footprint))</f>
        <v>0</v>
      </c>
      <c r="AS44" s="647"/>
      <c r="AT44" s="647"/>
      <c r="AU44" s="647"/>
      <c r="AV44" s="647"/>
      <c r="AW44" s="647"/>
      <c r="AX44" s="647"/>
      <c r="AY44" s="3"/>
      <c r="AZ44" s="3"/>
      <c r="BA44" s="3"/>
      <c r="BB44" s="3"/>
      <c r="BC44" s="3">
        <f t="shared" si="36"/>
        <v>0</v>
      </c>
      <c r="BD44" s="3">
        <f t="shared" si="36"/>
        <v>0</v>
      </c>
      <c r="BE44" s="19">
        <f t="shared" si="14"/>
        <v>0</v>
      </c>
      <c r="BF44" s="595"/>
      <c r="BG44" s="596"/>
      <c r="BH44" s="29"/>
      <c r="BI44" s="29"/>
      <c r="BJ44" s="29"/>
      <c r="BK44" s="29"/>
      <c r="BL44" s="29"/>
      <c r="BM44" s="29"/>
      <c r="BN44" s="29"/>
      <c r="BO44" s="3">
        <f t="shared" si="15"/>
        <v>0</v>
      </c>
      <c r="BP44" s="537"/>
      <c r="BT44" s="4"/>
      <c r="BU44" s="3">
        <f>ROUND(BP44*AY44,-3)</f>
        <v>0</v>
      </c>
      <c r="BV44" s="3"/>
      <c r="BW44" s="3"/>
      <c r="BX44" s="3"/>
      <c r="BY44" s="51">
        <v>2.5000000000000001E-2</v>
      </c>
      <c r="BZ44" s="3">
        <f>L44*BY44</f>
        <v>24375</v>
      </c>
      <c r="CA44" s="3"/>
    </row>
    <row r="45" spans="1:79" x14ac:dyDescent="0.2">
      <c r="A45" t="s">
        <v>54</v>
      </c>
      <c r="B45" t="s">
        <v>405</v>
      </c>
      <c r="C45" s="89">
        <f>'Block Builder'!C30</f>
        <v>0</v>
      </c>
      <c r="D45" s="89">
        <f>'Block Builder'!D30</f>
        <v>0</v>
      </c>
      <c r="E45" s="89">
        <f>'Block Builder'!E30</f>
        <v>0</v>
      </c>
      <c r="F45" s="89">
        <f>'Block Builder'!F30</f>
        <v>0</v>
      </c>
      <c r="G45" s="89">
        <f>'Block Builder'!G30</f>
        <v>0</v>
      </c>
      <c r="H45" s="89">
        <f>'Block Builder'!H30</f>
        <v>0</v>
      </c>
      <c r="I45" s="186">
        <f t="shared" si="4"/>
        <v>0</v>
      </c>
      <c r="J45" s="3" cm="1">
        <f t="array" ref="J45">SUMPRODUCT(--('Building Summary'!$A$2:$A$23=Model!$B45),('Building Summary'!$P$2:$P$23))</f>
        <v>10000</v>
      </c>
      <c r="K45" s="3" cm="1">
        <f t="array" ref="K45">SUMPRODUCT(--('Building Summary'!$A$2:$A$23=Model!$B45),('Building Summary'!$R$2:$R$23))</f>
        <v>0</v>
      </c>
      <c r="L45" s="19" cm="1">
        <f t="array" ref="L45">$I45*SUMPRODUCT(--(sBuilding=B45),(sBuilding_Cost))</f>
        <v>0</v>
      </c>
      <c r="M45" s="3"/>
      <c r="N45" s="3"/>
      <c r="O45" s="3"/>
      <c r="P45" s="3"/>
      <c r="Q45" s="3"/>
      <c r="R45" s="3"/>
      <c r="S45" s="3"/>
      <c r="V45" s="19">
        <f t="shared" si="7"/>
        <v>0</v>
      </c>
      <c r="W45" s="19">
        <f>ROUND(L45*$C$5,-3)</f>
        <v>0</v>
      </c>
      <c r="X45" s="19"/>
      <c r="Y45" s="19">
        <f t="shared" si="8"/>
        <v>0</v>
      </c>
      <c r="Z45" s="29">
        <f t="shared" si="9"/>
        <v>0</v>
      </c>
      <c r="AA45" s="26"/>
      <c r="AB45" s="19"/>
      <c r="AC45" s="19"/>
      <c r="AD45" s="21"/>
      <c r="AE45" s="3"/>
      <c r="AF45" s="3"/>
      <c r="AG45" s="3"/>
      <c r="AH45" s="3"/>
      <c r="AI45" s="3"/>
      <c r="AJ45" s="3"/>
      <c r="AK45" s="3"/>
      <c r="AL45" s="3" cm="1">
        <f t="array" ref="AL45">$I45*SUMPRODUCT(--(sBuilding=$B45),(sOpenSpace))</f>
        <v>0</v>
      </c>
      <c r="AM45" s="19"/>
      <c r="AN45" s="19" cm="1">
        <f t="array" ref="AN45">$I45*SUMPRODUCT(--(sBuilding=$B45),(sParking_Surface))</f>
        <v>0</v>
      </c>
      <c r="AO45" s="19" cm="1">
        <f t="array" ref="AO45">$I45*SUMPRODUCT(--(sBuilding=$B45),(sParking_Structured))</f>
        <v>0</v>
      </c>
      <c r="AP45" s="19" cm="1">
        <f t="array" ref="AP45">$I45*SUMPRODUCT(--(sBuilding=$B45),(sParking_Subterranean))</f>
        <v>0</v>
      </c>
      <c r="AQ45" s="3" cm="1">
        <f t="array" ref="AQ45">$I45*SUMPRODUCT(--(sBuilding=$B45),(sParking_TotalUnits))</f>
        <v>0</v>
      </c>
      <c r="AR45" s="3" cm="1">
        <f t="array" ref="AR45">$I45*SUMPRODUCT(--(sBuilding=$B45),(sParking_Footprint))</f>
        <v>0</v>
      </c>
      <c r="AS45" s="647"/>
      <c r="AT45" s="647"/>
      <c r="AU45" s="647"/>
      <c r="AV45" s="647"/>
      <c r="AW45" s="647"/>
      <c r="AX45" s="647"/>
      <c r="AY45" s="3"/>
      <c r="AZ45" s="3"/>
      <c r="BA45" s="3"/>
      <c r="BB45" s="3"/>
      <c r="BC45" s="3">
        <f t="shared" si="36"/>
        <v>0</v>
      </c>
      <c r="BD45" s="3">
        <f t="shared" si="36"/>
        <v>0</v>
      </c>
      <c r="BE45" s="19">
        <f t="shared" si="14"/>
        <v>0</v>
      </c>
      <c r="BF45" s="595"/>
      <c r="BG45" s="596"/>
      <c r="BH45" s="29"/>
      <c r="BI45" s="29"/>
      <c r="BJ45" s="29"/>
      <c r="BK45" s="29"/>
      <c r="BL45" s="29"/>
      <c r="BM45" s="29"/>
      <c r="BN45" s="29"/>
      <c r="BO45" s="3">
        <f t="shared" si="15"/>
        <v>0</v>
      </c>
      <c r="BP45" s="537"/>
      <c r="BT45" s="4"/>
      <c r="BU45" s="3">
        <f>ROUND(BP45*AY45,-3)</f>
        <v>0</v>
      </c>
      <c r="BV45" s="3"/>
      <c r="BW45" s="3"/>
      <c r="BX45" s="3"/>
      <c r="BY45" s="51">
        <v>2.5000000000000001E-2</v>
      </c>
      <c r="BZ45" s="3">
        <f>L45*BY45</f>
        <v>0</v>
      </c>
      <c r="CA45" s="3"/>
    </row>
    <row r="46" spans="1:79" x14ac:dyDescent="0.2">
      <c r="A46" s="71"/>
      <c r="B46" s="71"/>
      <c r="C46" s="71"/>
      <c r="D46" s="71"/>
      <c r="E46" s="71"/>
      <c r="F46" s="71"/>
      <c r="G46" s="71"/>
      <c r="H46" s="71"/>
      <c r="I46" s="5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656"/>
      <c r="AT46" s="656"/>
      <c r="AU46" s="656"/>
      <c r="AV46" s="656"/>
      <c r="AW46" s="656"/>
      <c r="AX46" s="656"/>
      <c r="AY46" s="71"/>
      <c r="AZ46" s="71"/>
      <c r="BA46" s="71"/>
      <c r="BB46" s="71"/>
      <c r="BC46" s="71"/>
      <c r="BD46" s="71"/>
      <c r="BE46" s="71"/>
      <c r="BF46" s="71"/>
      <c r="BG46" s="71"/>
      <c r="BH46" s="601"/>
      <c r="BI46" s="71"/>
      <c r="BJ46" s="71"/>
      <c r="BK46" s="71"/>
      <c r="BL46" s="71"/>
      <c r="BM46" s="71"/>
      <c r="BN46" s="71"/>
      <c r="BO46" s="71"/>
      <c r="BP46" s="539"/>
      <c r="BQ46" s="71"/>
      <c r="BR46" s="71"/>
      <c r="BS46" s="71"/>
      <c r="BT46" s="43"/>
      <c r="BU46" s="5"/>
      <c r="BV46" s="5"/>
      <c r="BW46" s="5"/>
      <c r="BX46" s="5"/>
      <c r="BY46" s="71"/>
      <c r="BZ46" s="71"/>
      <c r="CA46" s="5"/>
    </row>
    <row r="47" spans="1:79" x14ac:dyDescent="0.2">
      <c r="I47" s="3"/>
      <c r="K47"/>
      <c r="L47" s="19">
        <f>SUM(L25:L46)</f>
        <v>249865000</v>
      </c>
      <c r="M47" s="19"/>
      <c r="N47" s="19"/>
      <c r="O47" s="19"/>
      <c r="P47" s="19"/>
      <c r="Q47" s="19"/>
      <c r="R47" s="19"/>
      <c r="S47" s="19"/>
      <c r="T47" s="19"/>
      <c r="U47" s="19"/>
      <c r="V47" s="19">
        <f>SUM(V25:V46)</f>
        <v>1618000</v>
      </c>
      <c r="W47" s="19">
        <f>SUM(W25:W46)</f>
        <v>1413000</v>
      </c>
      <c r="X47" s="19">
        <f>SUM(X25:X46)</f>
        <v>131000</v>
      </c>
      <c r="Y47" s="19">
        <f>SUM(Y25:Y46)</f>
        <v>3162000</v>
      </c>
      <c r="AB47" s="19">
        <f t="shared" ref="AB47:AR47" si="37">SUM(AB25:AB46)</f>
        <v>334</v>
      </c>
      <c r="AC47" s="19">
        <f t="shared" si="37"/>
        <v>44</v>
      </c>
      <c r="AD47" s="19">
        <f t="shared" si="37"/>
        <v>378</v>
      </c>
      <c r="AE47" s="19">
        <f t="shared" si="37"/>
        <v>238500</v>
      </c>
      <c r="AF47" s="19">
        <f t="shared" si="37"/>
        <v>524700</v>
      </c>
      <c r="AG47" s="19">
        <f t="shared" si="37"/>
        <v>61300</v>
      </c>
      <c r="AH47" s="19">
        <f t="shared" si="37"/>
        <v>105000</v>
      </c>
      <c r="AI47" s="19">
        <f t="shared" si="37"/>
        <v>3500</v>
      </c>
      <c r="AJ47" s="19">
        <f t="shared" si="37"/>
        <v>10000</v>
      </c>
      <c r="AK47" s="19">
        <f t="shared" si="37"/>
        <v>60000</v>
      </c>
      <c r="AL47" s="19">
        <f t="shared" si="37"/>
        <v>30000</v>
      </c>
      <c r="AM47" s="19">
        <f t="shared" si="37"/>
        <v>1003000</v>
      </c>
      <c r="AN47" s="19">
        <f t="shared" si="37"/>
        <v>179</v>
      </c>
      <c r="AO47" s="19">
        <f t="shared" si="37"/>
        <v>456</v>
      </c>
      <c r="AP47" s="19">
        <f t="shared" si="37"/>
        <v>521</v>
      </c>
      <c r="AQ47" s="19">
        <f t="shared" si="37"/>
        <v>1156</v>
      </c>
      <c r="AR47" s="19">
        <f t="shared" si="37"/>
        <v>85000</v>
      </c>
      <c r="AS47" s="647"/>
      <c r="AT47" s="647"/>
      <c r="AU47" s="647"/>
      <c r="AV47" s="647"/>
      <c r="AW47" s="647"/>
      <c r="AX47" s="647"/>
      <c r="AY47" s="19">
        <f t="shared" ref="AY47:BE47" si="38">SUM(AY25:AY45)</f>
        <v>119009000</v>
      </c>
      <c r="AZ47" s="19">
        <f t="shared" si="38"/>
        <v>146274000</v>
      </c>
      <c r="BA47" s="19">
        <f t="shared" si="38"/>
        <v>4312000</v>
      </c>
      <c r="BB47" s="19">
        <f t="shared" si="38"/>
        <v>38403000</v>
      </c>
      <c r="BC47" s="19">
        <f t="shared" si="38"/>
        <v>613000</v>
      </c>
      <c r="BD47" s="19">
        <f t="shared" si="38"/>
        <v>0</v>
      </c>
      <c r="BE47" s="19">
        <f t="shared" si="38"/>
        <v>308611000</v>
      </c>
      <c r="BF47" s="19"/>
      <c r="BG47" s="19"/>
      <c r="BH47" s="29"/>
      <c r="BI47" s="19"/>
      <c r="BJ47" s="19"/>
      <c r="BK47" s="19"/>
      <c r="BL47" s="19">
        <f>SUM(BL25:BL45)</f>
        <v>0</v>
      </c>
      <c r="BM47" s="19">
        <f>SUM(BM25:BM45)</f>
        <v>0</v>
      </c>
      <c r="BN47" s="19">
        <f>SUM(BN25:BN45)</f>
        <v>0</v>
      </c>
      <c r="BO47" s="19">
        <f>SUM(BO25:BO45)</f>
        <v>0</v>
      </c>
      <c r="BP47" s="537"/>
      <c r="BT47" s="4"/>
      <c r="BU47" s="19">
        <f>SUM(BU25:BU45)</f>
        <v>737000</v>
      </c>
      <c r="BV47" s="19">
        <f>SUM(BV25:BV45)</f>
        <v>894000</v>
      </c>
      <c r="BW47" s="19">
        <f>SUM(BW25:BW45)</f>
        <v>586000</v>
      </c>
      <c r="BX47" s="19">
        <f>SUM(BX25:BX45)</f>
        <v>2217000.02</v>
      </c>
      <c r="BZ47" s="19">
        <f>SUM(BZ25:BZ45)</f>
        <v>120325</v>
      </c>
      <c r="CA47" s="19">
        <f>SUM(CA25:CA45)</f>
        <v>0</v>
      </c>
    </row>
    <row r="48" spans="1:79" x14ac:dyDescent="0.2">
      <c r="I48" s="3"/>
      <c r="K48"/>
      <c r="BJ48" s="4"/>
      <c r="BK48" s="4"/>
      <c r="BL48" s="4"/>
      <c r="BM48"/>
      <c r="BN48"/>
      <c r="BO48"/>
      <c r="BQ48" s="4"/>
      <c r="BZ48" s="19">
        <f>BZ47-CA47</f>
        <v>120325</v>
      </c>
    </row>
    <row r="49" spans="1:78" x14ac:dyDescent="0.2">
      <c r="A49" s="36" t="s">
        <v>406</v>
      </c>
      <c r="B49" s="36" t="str">
        <f>$A$49</f>
        <v>END</v>
      </c>
      <c r="C49" s="36" t="str">
        <f t="shared" ref="C49:BJ49" si="39">$A$49</f>
        <v>END</v>
      </c>
      <c r="D49" s="36" t="str">
        <f t="shared" si="39"/>
        <v>END</v>
      </c>
      <c r="E49" s="36" t="str">
        <f t="shared" si="39"/>
        <v>END</v>
      </c>
      <c r="F49" s="36" t="str">
        <f t="shared" si="39"/>
        <v>END</v>
      </c>
      <c r="G49" s="36" t="str">
        <f t="shared" si="39"/>
        <v>END</v>
      </c>
      <c r="H49" s="36" t="str">
        <f t="shared" si="39"/>
        <v>END</v>
      </c>
      <c r="I49" s="36" t="str">
        <f t="shared" si="39"/>
        <v>END</v>
      </c>
      <c r="J49" s="36" t="str">
        <f t="shared" si="39"/>
        <v>END</v>
      </c>
      <c r="K49" s="36" t="str">
        <f t="shared" si="39"/>
        <v>END</v>
      </c>
      <c r="L49" s="36" t="str">
        <f t="shared" si="39"/>
        <v>END</v>
      </c>
      <c r="M49" s="36" t="str">
        <f t="shared" si="39"/>
        <v>END</v>
      </c>
      <c r="N49" s="36" t="str">
        <f t="shared" si="39"/>
        <v>END</v>
      </c>
      <c r="O49" s="36" t="str">
        <f t="shared" si="39"/>
        <v>END</v>
      </c>
      <c r="P49" s="36" t="str">
        <f t="shared" si="39"/>
        <v>END</v>
      </c>
      <c r="Q49" s="36" t="str">
        <f t="shared" si="39"/>
        <v>END</v>
      </c>
      <c r="R49" s="36"/>
      <c r="S49" s="36"/>
      <c r="T49" s="36"/>
      <c r="U49" s="36" t="str">
        <f t="shared" si="39"/>
        <v>END</v>
      </c>
      <c r="V49" s="36" t="str">
        <f t="shared" si="39"/>
        <v>END</v>
      </c>
      <c r="W49" s="36" t="str">
        <f t="shared" si="39"/>
        <v>END</v>
      </c>
      <c r="X49" s="36" t="str">
        <f t="shared" si="39"/>
        <v>END</v>
      </c>
      <c r="Y49" s="36" t="str">
        <f t="shared" si="39"/>
        <v>END</v>
      </c>
      <c r="Z49" s="36" t="str">
        <f t="shared" si="39"/>
        <v>END</v>
      </c>
      <c r="AA49" s="36" t="str">
        <f t="shared" si="39"/>
        <v>END</v>
      </c>
      <c r="AB49" s="36" t="str">
        <f t="shared" si="39"/>
        <v>END</v>
      </c>
      <c r="AC49" s="36" t="str">
        <f t="shared" si="39"/>
        <v>END</v>
      </c>
      <c r="AD49" s="36" t="str">
        <f t="shared" si="39"/>
        <v>END</v>
      </c>
      <c r="AE49" s="36" t="str">
        <f t="shared" si="39"/>
        <v>END</v>
      </c>
      <c r="AF49" s="36" t="str">
        <f t="shared" si="39"/>
        <v>END</v>
      </c>
      <c r="AG49" s="36" t="str">
        <f t="shared" si="39"/>
        <v>END</v>
      </c>
      <c r="AH49" s="36" t="str">
        <f t="shared" si="39"/>
        <v>END</v>
      </c>
      <c r="AI49" s="36" t="str">
        <f t="shared" si="39"/>
        <v>END</v>
      </c>
      <c r="AJ49" s="36" t="str">
        <f t="shared" si="39"/>
        <v>END</v>
      </c>
      <c r="AK49" s="36" t="str">
        <f t="shared" si="39"/>
        <v>END</v>
      </c>
      <c r="AL49" s="36" t="str">
        <f t="shared" si="39"/>
        <v>END</v>
      </c>
      <c r="AM49" s="36" t="str">
        <f t="shared" si="39"/>
        <v>END</v>
      </c>
      <c r="AN49" s="36" t="str">
        <f t="shared" si="39"/>
        <v>END</v>
      </c>
      <c r="AO49" s="36" t="str">
        <f t="shared" si="39"/>
        <v>END</v>
      </c>
      <c r="AP49" s="36" t="str">
        <f t="shared" si="39"/>
        <v>END</v>
      </c>
      <c r="AQ49" s="36" t="str">
        <f t="shared" si="39"/>
        <v>END</v>
      </c>
      <c r="AR49" s="36" t="str">
        <f t="shared" si="39"/>
        <v>END</v>
      </c>
      <c r="AS49" s="653" t="str">
        <f t="shared" si="39"/>
        <v>END</v>
      </c>
      <c r="AT49" s="653" t="str">
        <f t="shared" si="39"/>
        <v>END</v>
      </c>
      <c r="AU49" s="653" t="str">
        <f t="shared" si="39"/>
        <v>END</v>
      </c>
      <c r="AV49" s="653" t="str">
        <f t="shared" si="39"/>
        <v>END</v>
      </c>
      <c r="AW49" s="653" t="str">
        <f t="shared" si="39"/>
        <v>END</v>
      </c>
      <c r="AX49" s="661" t="str">
        <f t="shared" si="39"/>
        <v>END</v>
      </c>
      <c r="AY49" s="36" t="str">
        <f t="shared" si="39"/>
        <v>END</v>
      </c>
      <c r="AZ49" s="36" t="str">
        <f t="shared" si="39"/>
        <v>END</v>
      </c>
      <c r="BA49" s="36" t="str">
        <f t="shared" si="39"/>
        <v>END</v>
      </c>
      <c r="BB49" s="36" t="str">
        <f t="shared" si="39"/>
        <v>END</v>
      </c>
      <c r="BC49" s="36" t="str">
        <f t="shared" si="39"/>
        <v>END</v>
      </c>
      <c r="BD49" s="36" t="str">
        <f t="shared" si="39"/>
        <v>END</v>
      </c>
      <c r="BE49" s="36"/>
      <c r="BF49" s="36"/>
      <c r="BG49" s="602"/>
      <c r="BH49" s="36" t="str">
        <f t="shared" si="39"/>
        <v>END</v>
      </c>
      <c r="BI49" s="36" t="str">
        <f t="shared" si="39"/>
        <v>END</v>
      </c>
      <c r="BJ49" s="36" t="str">
        <f t="shared" si="39"/>
        <v>END</v>
      </c>
      <c r="BK49" s="36" t="str">
        <f t="shared" ref="BK49:BZ49" si="40">$A$49</f>
        <v>END</v>
      </c>
      <c r="BL49" s="36" t="str">
        <f t="shared" si="40"/>
        <v>END</v>
      </c>
      <c r="BM49" s="36" t="str">
        <f t="shared" si="40"/>
        <v>END</v>
      </c>
      <c r="BN49" s="36" t="str">
        <f t="shared" si="40"/>
        <v>END</v>
      </c>
      <c r="BO49" s="36" t="str">
        <f t="shared" si="40"/>
        <v>END</v>
      </c>
      <c r="BP49" s="36" t="str">
        <f t="shared" si="40"/>
        <v>END</v>
      </c>
      <c r="BQ49" s="36" t="str">
        <f t="shared" si="40"/>
        <v>END</v>
      </c>
      <c r="BR49" s="36" t="str">
        <f t="shared" si="40"/>
        <v>END</v>
      </c>
      <c r="BS49" s="36" t="str">
        <f t="shared" si="40"/>
        <v>END</v>
      </c>
      <c r="BT49" s="36" t="str">
        <f t="shared" si="40"/>
        <v>END</v>
      </c>
      <c r="BU49" s="36" t="str">
        <f t="shared" si="40"/>
        <v>END</v>
      </c>
      <c r="BV49" s="36" t="str">
        <f t="shared" si="40"/>
        <v>END</v>
      </c>
      <c r="BW49" s="36" t="str">
        <f t="shared" si="40"/>
        <v>END</v>
      </c>
      <c r="BX49" s="36" t="str">
        <f t="shared" si="40"/>
        <v>END</v>
      </c>
      <c r="BY49" s="36" t="str">
        <f t="shared" si="40"/>
        <v>END</v>
      </c>
      <c r="BZ49" s="36" t="str">
        <f t="shared" si="40"/>
        <v>END</v>
      </c>
    </row>
    <row r="50" spans="1:78" x14ac:dyDescent="0.2"/>
    <row r="51" spans="1:78" x14ac:dyDescent="0.2"/>
    <row r="52" spans="1:78" x14ac:dyDescent="0.2"/>
    <row r="53" spans="1:78" x14ac:dyDescent="0.2"/>
    <row r="54" spans="1:78" x14ac:dyDescent="0.2"/>
  </sheetData>
  <sheetProtection algorithmName="SHA-512" hashValue="J9LfDvQRRnF04yRod5EYn3nsLODkR41uihlSTg0lTI1cE57nhUMM3KizH9370+hUoJajyJXQinEIjlUV6nIk3w==" saltValue="VukHMYJ/ou0c2RzaN8QTJA==" spinCount="100000" sheet="1" objects="1" scenarios="1"/>
  <phoneticPr fontId="4" type="noConversion"/>
  <dataValidations disablePrompts="1" count="1">
    <dataValidation type="decimal" allowBlank="1" showInputMessage="1" showErrorMessage="1" sqref="C4:C6" xr:uid="{D9ED45EF-ED36-4F7E-9274-8E7966F54F14}">
      <formula1>0</formula1>
      <formula2>1</formula2>
    </dataValidation>
  </dataValidations>
  <pageMargins left="0.7" right="0.7" top="0.75" bottom="0.75" header="0.3" footer="0.3"/>
  <pageSetup scale="55" fitToWidth="5" orientation="landscape" horizontalDpi="4294967293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E904-42C9-4089-AA7D-145024E3FB50}">
  <sheetPr codeName="Sheet13"/>
  <dimension ref="A1:AN43"/>
  <sheetViews>
    <sheetView showGridLines="0" workbookViewId="0">
      <selection activeCell="K36" sqref="K36"/>
    </sheetView>
  </sheetViews>
  <sheetFormatPr baseColWidth="10" defaultColWidth="0" defaultRowHeight="15" zeroHeight="1" x14ac:dyDescent="0.2"/>
  <cols>
    <col min="1" max="1" width="21.5" customWidth="1"/>
    <col min="2" max="2" width="15.83203125" customWidth="1"/>
    <col min="3" max="3" width="8.5" style="3" bestFit="1" customWidth="1"/>
    <col min="4" max="4" width="12.1640625" style="3" bestFit="1" customWidth="1"/>
    <col min="5" max="6" width="11.1640625" bestFit="1" customWidth="1"/>
    <col min="7" max="7" width="10.1640625" bestFit="1" customWidth="1"/>
    <col min="8" max="11" width="12.5" customWidth="1"/>
    <col min="12" max="12" width="11" style="612" bestFit="1" customWidth="1"/>
    <col min="13" max="13" width="13.5" customWidth="1"/>
    <col min="14" max="14" width="11.1640625" bestFit="1" customWidth="1"/>
    <col min="15" max="20" width="11.1640625" customWidth="1"/>
    <col min="21" max="21" width="13" style="643" customWidth="1"/>
    <col min="22" max="23" width="13" style="23" customWidth="1"/>
    <col min="24" max="24" width="13" style="3" customWidth="1"/>
    <col min="25" max="26" width="13" style="19" customWidth="1"/>
    <col min="27" max="27" width="10.5" style="19" customWidth="1"/>
    <col min="28" max="28" width="10.5" customWidth="1"/>
    <col min="29" max="29" width="8.5" customWidth="1"/>
    <col min="30" max="30" width="12.5" style="612" bestFit="1" customWidth="1"/>
    <col min="31" max="31" width="1.83203125" customWidth="1"/>
    <col min="32" max="32" width="14.1640625" style="648" bestFit="1" customWidth="1"/>
    <col min="33" max="33" width="11" customWidth="1"/>
    <col min="34" max="34" width="1.83203125" customWidth="1"/>
    <col min="35" max="35" width="11.5" bestFit="1" customWidth="1"/>
    <col min="36" max="36" width="11" customWidth="1"/>
    <col min="37" max="38" width="8.5" customWidth="1"/>
    <col min="39" max="40" width="0" hidden="1" customWidth="1"/>
    <col min="41" max="16384" width="8.5" hidden="1"/>
  </cols>
  <sheetData>
    <row r="1" spans="1:36" ht="48" x14ac:dyDescent="0.2">
      <c r="A1" s="15" t="s">
        <v>357</v>
      </c>
      <c r="B1" s="15" t="s">
        <v>356</v>
      </c>
      <c r="C1" s="15" t="s">
        <v>407</v>
      </c>
      <c r="D1" s="15" t="s">
        <v>408</v>
      </c>
      <c r="E1" s="15" t="s">
        <v>25</v>
      </c>
      <c r="F1" s="15" t="s">
        <v>409</v>
      </c>
      <c r="G1" s="15" t="s">
        <v>13</v>
      </c>
      <c r="H1" s="15" t="s">
        <v>410</v>
      </c>
      <c r="I1" s="15" t="s">
        <v>411</v>
      </c>
      <c r="J1" s="15" t="s">
        <v>412</v>
      </c>
      <c r="K1" s="15" t="s">
        <v>413</v>
      </c>
      <c r="L1" s="15" t="s">
        <v>414</v>
      </c>
      <c r="M1" s="15" t="s">
        <v>415</v>
      </c>
      <c r="N1" s="15" t="s">
        <v>416</v>
      </c>
      <c r="O1" s="15" t="s">
        <v>54</v>
      </c>
      <c r="P1" s="15" t="s">
        <v>417</v>
      </c>
      <c r="Q1" s="15" t="s">
        <v>66</v>
      </c>
      <c r="R1" s="15" t="s">
        <v>67</v>
      </c>
      <c r="S1" s="15" t="s">
        <v>11</v>
      </c>
      <c r="T1" s="15" t="s">
        <v>418</v>
      </c>
      <c r="U1" s="641" t="s">
        <v>419</v>
      </c>
      <c r="V1" s="20" t="s">
        <v>369</v>
      </c>
      <c r="W1" s="20" t="s">
        <v>370</v>
      </c>
      <c r="X1" s="15" t="s">
        <v>371</v>
      </c>
      <c r="Y1" s="15" t="s">
        <v>372</v>
      </c>
      <c r="Z1" s="15" t="s">
        <v>420</v>
      </c>
      <c r="AA1" s="15" t="s">
        <v>421</v>
      </c>
      <c r="AB1" s="15" t="s">
        <v>422</v>
      </c>
      <c r="AC1" s="15" t="s">
        <v>423</v>
      </c>
      <c r="AD1" s="15" t="s">
        <v>424</v>
      </c>
      <c r="AF1" s="625" t="s">
        <v>425</v>
      </c>
      <c r="AG1" s="625" t="s">
        <v>426</v>
      </c>
      <c r="AH1" s="626"/>
      <c r="AI1" s="625" t="s">
        <v>427</v>
      </c>
      <c r="AJ1" s="625" t="s">
        <v>428</v>
      </c>
    </row>
    <row r="2" spans="1:36" x14ac:dyDescent="0.2">
      <c r="A2" t="s">
        <v>401</v>
      </c>
      <c r="B2" t="s">
        <v>43</v>
      </c>
      <c r="C2" s="47">
        <v>4</v>
      </c>
      <c r="D2" s="47">
        <v>0</v>
      </c>
      <c r="E2" s="46">
        <f>'Use Allocation'!H19</f>
        <v>0</v>
      </c>
      <c r="F2" s="46">
        <f>'Use Allocation'!J19</f>
        <v>0</v>
      </c>
      <c r="G2" s="46">
        <f>'Use Allocation'!G19</f>
        <v>0</v>
      </c>
      <c r="H2" s="45"/>
      <c r="I2" s="45"/>
      <c r="J2" s="45"/>
      <c r="K2" s="663">
        <f>SUM(E2:J2)</f>
        <v>0</v>
      </c>
      <c r="L2" s="664">
        <f>15000/12</f>
        <v>1250</v>
      </c>
      <c r="M2" s="665">
        <f>F2/L2</f>
        <v>0</v>
      </c>
      <c r="N2" s="47">
        <v>0</v>
      </c>
      <c r="O2" s="47">
        <v>0</v>
      </c>
      <c r="P2" s="47">
        <v>20000</v>
      </c>
      <c r="Q2" s="47">
        <v>15000</v>
      </c>
      <c r="R2" s="47"/>
      <c r="S2" s="667">
        <f t="shared" ref="S2:S21" si="0">Q2/P2</f>
        <v>0.75</v>
      </c>
      <c r="T2" s="668">
        <f t="shared" ref="T2:T22" si="1">AC2/P2</f>
        <v>0</v>
      </c>
      <c r="U2" s="668">
        <v>0</v>
      </c>
      <c r="V2" s="49"/>
      <c r="W2" s="49"/>
      <c r="X2" s="18"/>
      <c r="Y2" s="18"/>
      <c r="Z2" s="18"/>
      <c r="AA2" s="669">
        <f>ROUND(IFERROR(AD2/AC2,0),2)</f>
        <v>0</v>
      </c>
      <c r="AB2" s="666"/>
      <c r="AC2" s="670">
        <f t="shared" ref="AC2:AC22" si="2">K2+O2</f>
        <v>0</v>
      </c>
      <c r="AD2" s="18">
        <v>15000000</v>
      </c>
      <c r="AF2" s="648" t="s">
        <v>429</v>
      </c>
      <c r="AG2" s="191" t="s">
        <v>429</v>
      </c>
      <c r="AI2" s="191" t="s">
        <v>429</v>
      </c>
      <c r="AJ2" s="191" t="s">
        <v>429</v>
      </c>
    </row>
    <row r="3" spans="1:36" x14ac:dyDescent="0.2">
      <c r="A3" t="s">
        <v>400</v>
      </c>
      <c r="B3" t="s">
        <v>43</v>
      </c>
      <c r="C3" s="47">
        <v>4</v>
      </c>
      <c r="D3" s="47">
        <v>0</v>
      </c>
      <c r="E3" s="45"/>
      <c r="F3" s="45"/>
      <c r="G3" s="45"/>
      <c r="H3" s="45"/>
      <c r="I3" s="45"/>
      <c r="J3" s="47">
        <v>60000</v>
      </c>
      <c r="K3" s="663">
        <f t="shared" ref="K3:K22" si="3">SUM(E3:J3)</f>
        <v>60000</v>
      </c>
      <c r="L3" s="664"/>
      <c r="M3" s="665"/>
      <c r="N3" s="47">
        <v>0</v>
      </c>
      <c r="O3" s="47">
        <v>0</v>
      </c>
      <c r="P3" s="47">
        <v>20000</v>
      </c>
      <c r="Q3" s="47">
        <v>15000</v>
      </c>
      <c r="R3" s="47"/>
      <c r="S3" s="667">
        <f t="shared" ref="S3" si="4">Q3/P3</f>
        <v>0.75</v>
      </c>
      <c r="T3" s="668">
        <f t="shared" si="1"/>
        <v>3</v>
      </c>
      <c r="U3" s="668">
        <v>0</v>
      </c>
      <c r="V3" s="49"/>
      <c r="W3" s="49"/>
      <c r="X3" s="18"/>
      <c r="Y3" s="18"/>
      <c r="Z3" s="18"/>
      <c r="AA3" s="669">
        <f t="shared" ref="AA3:AA22" si="5">ROUND(IFERROR(AD3/AC3,0),2)</f>
        <v>0</v>
      </c>
      <c r="AB3" s="666"/>
      <c r="AC3" s="670">
        <f t="shared" si="2"/>
        <v>60000</v>
      </c>
      <c r="AD3" s="18">
        <v>0</v>
      </c>
      <c r="AF3" s="648" t="s">
        <v>429</v>
      </c>
      <c r="AG3" s="191" t="s">
        <v>429</v>
      </c>
      <c r="AI3" s="191" t="s">
        <v>429</v>
      </c>
      <c r="AJ3" s="191" t="s">
        <v>429</v>
      </c>
    </row>
    <row r="4" spans="1:36" x14ac:dyDescent="0.2">
      <c r="A4" t="s">
        <v>49</v>
      </c>
      <c r="B4" t="s">
        <v>43</v>
      </c>
      <c r="C4" s="47">
        <v>4</v>
      </c>
      <c r="D4" s="47">
        <v>0</v>
      </c>
      <c r="E4" s="46">
        <f>'Use Allocation'!H41</f>
        <v>3500</v>
      </c>
      <c r="F4" s="46">
        <f>'Use Allocation'!J41</f>
        <v>36000</v>
      </c>
      <c r="G4" s="46">
        <f>'Use Allocation'!G41</f>
        <v>5000</v>
      </c>
      <c r="H4" s="46">
        <f>'Use Allocation'!E41</f>
        <v>3500</v>
      </c>
      <c r="I4" s="46">
        <f>'Use Allocation'!F41</f>
        <v>0</v>
      </c>
      <c r="J4" s="525"/>
      <c r="K4" s="663">
        <f t="shared" si="3"/>
        <v>48000</v>
      </c>
      <c r="L4" s="664">
        <f>12000/10</f>
        <v>1200</v>
      </c>
      <c r="M4" s="665">
        <f>F4/L4</f>
        <v>30</v>
      </c>
      <c r="N4" s="47">
        <v>0</v>
      </c>
      <c r="O4" s="47">
        <v>0</v>
      </c>
      <c r="P4" s="47">
        <v>20000</v>
      </c>
      <c r="Q4" s="47">
        <v>12000</v>
      </c>
      <c r="R4" s="47"/>
      <c r="S4" s="667">
        <f t="shared" si="0"/>
        <v>0.6</v>
      </c>
      <c r="T4" s="668">
        <f t="shared" si="1"/>
        <v>2.4</v>
      </c>
      <c r="U4" s="668">
        <v>0</v>
      </c>
      <c r="V4" s="47"/>
      <c r="W4" s="47"/>
      <c r="X4" s="18"/>
      <c r="Y4" s="18"/>
      <c r="Z4" s="18"/>
      <c r="AA4" s="669">
        <f t="shared" si="5"/>
        <v>250</v>
      </c>
      <c r="AB4" s="666"/>
      <c r="AC4" s="670">
        <f t="shared" si="2"/>
        <v>48000</v>
      </c>
      <c r="AD4" s="18">
        <v>12000000</v>
      </c>
      <c r="AF4" s="648" t="s">
        <v>429</v>
      </c>
      <c r="AG4" s="191" t="s">
        <v>429</v>
      </c>
      <c r="AI4" s="191" t="s">
        <v>429</v>
      </c>
      <c r="AJ4" s="191" t="s">
        <v>429</v>
      </c>
    </row>
    <row r="5" spans="1:36" x14ac:dyDescent="0.2">
      <c r="A5" s="16" t="s">
        <v>402</v>
      </c>
      <c r="B5" t="s">
        <v>43</v>
      </c>
      <c r="C5" s="47">
        <v>3</v>
      </c>
      <c r="D5" s="47">
        <v>0</v>
      </c>
      <c r="E5" s="46">
        <f>'Use Allocation'!H52</f>
        <v>10000</v>
      </c>
      <c r="F5" s="46">
        <f>'Use Allocation'!J52</f>
        <v>50000</v>
      </c>
      <c r="G5" s="46">
        <f>'Use Allocation'!G52</f>
        <v>5000</v>
      </c>
      <c r="H5" s="46"/>
      <c r="I5" s="46">
        <f>'Use Allocation'!F52</f>
        <v>10000</v>
      </c>
      <c r="J5" s="525"/>
      <c r="K5" s="663">
        <f t="shared" si="3"/>
        <v>75000</v>
      </c>
      <c r="L5" s="664">
        <f>25000/20</f>
        <v>1250</v>
      </c>
      <c r="M5" s="665">
        <f>F5/L5</f>
        <v>40</v>
      </c>
      <c r="N5" s="47">
        <v>0</v>
      </c>
      <c r="O5" s="47">
        <v>0</v>
      </c>
      <c r="P5" s="47">
        <v>40000</v>
      </c>
      <c r="Q5" s="47">
        <v>25000</v>
      </c>
      <c r="R5" s="47"/>
      <c r="S5" s="667">
        <f t="shared" si="0"/>
        <v>0.625</v>
      </c>
      <c r="T5" s="668">
        <f t="shared" si="1"/>
        <v>1.875</v>
      </c>
      <c r="U5" s="668">
        <v>0</v>
      </c>
      <c r="V5" s="47"/>
      <c r="W5" s="47"/>
      <c r="X5" s="18"/>
      <c r="Y5" s="18"/>
      <c r="Z5" s="18"/>
      <c r="AA5" s="669">
        <f t="shared" si="5"/>
        <v>250</v>
      </c>
      <c r="AB5" s="666"/>
      <c r="AC5" s="670">
        <f t="shared" si="2"/>
        <v>75000</v>
      </c>
      <c r="AD5" s="18">
        <v>18750000</v>
      </c>
      <c r="AF5" s="648" t="s">
        <v>429</v>
      </c>
      <c r="AG5" s="191" t="s">
        <v>429</v>
      </c>
      <c r="AI5" s="191" t="s">
        <v>429</v>
      </c>
      <c r="AJ5" s="191" t="s">
        <v>429</v>
      </c>
    </row>
    <row r="6" spans="1:36" x14ac:dyDescent="0.2">
      <c r="A6" t="s">
        <v>396</v>
      </c>
      <c r="B6" t="s">
        <v>24</v>
      </c>
      <c r="C6" s="47">
        <v>3</v>
      </c>
      <c r="D6" s="47">
        <v>2</v>
      </c>
      <c r="E6" s="47">
        <v>45000</v>
      </c>
      <c r="F6" s="47">
        <v>0</v>
      </c>
      <c r="G6" s="47">
        <v>0</v>
      </c>
      <c r="H6" s="45"/>
      <c r="I6" s="45"/>
      <c r="J6" s="45"/>
      <c r="K6" s="663">
        <f t="shared" si="3"/>
        <v>45000</v>
      </c>
      <c r="L6" s="664"/>
      <c r="M6" s="665"/>
      <c r="N6" s="47">
        <v>30000</v>
      </c>
      <c r="O6" s="47">
        <v>0</v>
      </c>
      <c r="P6" s="47">
        <v>30000</v>
      </c>
      <c r="Q6" s="47">
        <v>15000</v>
      </c>
      <c r="R6" s="666">
        <f t="shared" ref="R6:R18" si="6">P6-Q6</f>
        <v>15000</v>
      </c>
      <c r="S6" s="667">
        <f t="shared" si="0"/>
        <v>0.5</v>
      </c>
      <c r="T6" s="668">
        <f t="shared" si="1"/>
        <v>1.5</v>
      </c>
      <c r="U6" s="668">
        <f>Y6/(K6/1000)</f>
        <v>2</v>
      </c>
      <c r="V6" s="47"/>
      <c r="W6" s="47">
        <v>90</v>
      </c>
      <c r="X6" s="18"/>
      <c r="Y6" s="669">
        <f>SUM(V6:X6)</f>
        <v>90</v>
      </c>
      <c r="Z6" s="17">
        <f>ROUND(N6/Y6,2)</f>
        <v>333.33</v>
      </c>
      <c r="AA6" s="669">
        <f t="shared" si="5"/>
        <v>312.5</v>
      </c>
      <c r="AB6" s="666"/>
      <c r="AC6" s="670">
        <f t="shared" si="2"/>
        <v>45000</v>
      </c>
      <c r="AD6" s="18">
        <v>14062500</v>
      </c>
      <c r="AF6" s="624">
        <f>ROUND(((E6/K6)*Model!AS31*AD6)+((F6/K6)*Model!AT31*AD6)+((G6/K6)*Model!AV31*AD6),0)</f>
        <v>18351563</v>
      </c>
      <c r="AG6" s="612">
        <f t="shared" ref="AG6:AG18" si="7">AF6/P6</f>
        <v>611.71876666666662</v>
      </c>
      <c r="AI6" s="3">
        <f t="shared" ref="AI6:AI18" si="8">AF6-AD6</f>
        <v>4289063</v>
      </c>
      <c r="AJ6" s="19">
        <f t="shared" ref="AJ6:AJ18" si="9">AI6/P6</f>
        <v>142.96876666666665</v>
      </c>
    </row>
    <row r="7" spans="1:36" x14ac:dyDescent="0.2">
      <c r="A7" t="s">
        <v>397</v>
      </c>
      <c r="B7" t="s">
        <v>24</v>
      </c>
      <c r="C7" s="47">
        <v>3</v>
      </c>
      <c r="D7" s="47">
        <v>2</v>
      </c>
      <c r="E7" s="47">
        <v>60000</v>
      </c>
      <c r="F7" s="47">
        <v>0</v>
      </c>
      <c r="G7" s="47">
        <v>0</v>
      </c>
      <c r="H7" s="45"/>
      <c r="I7" s="45"/>
      <c r="J7" s="45"/>
      <c r="K7" s="663">
        <f t="shared" si="3"/>
        <v>60000</v>
      </c>
      <c r="L7" s="664"/>
      <c r="M7" s="665"/>
      <c r="N7" s="47">
        <v>40000</v>
      </c>
      <c r="O7" s="47">
        <v>0</v>
      </c>
      <c r="P7" s="47">
        <v>40000</v>
      </c>
      <c r="Q7" s="47">
        <v>20000</v>
      </c>
      <c r="R7" s="666">
        <f t="shared" si="6"/>
        <v>20000</v>
      </c>
      <c r="S7" s="667">
        <f t="shared" si="0"/>
        <v>0.5</v>
      </c>
      <c r="T7" s="668">
        <f t="shared" si="1"/>
        <v>1.5</v>
      </c>
      <c r="U7" s="668">
        <f>Y7/(K7/1000)</f>
        <v>2</v>
      </c>
      <c r="V7" s="47"/>
      <c r="W7" s="47">
        <v>120</v>
      </c>
      <c r="X7" s="18"/>
      <c r="Y7" s="669">
        <f t="shared" ref="Y7:Y18" si="10">SUM(V7:X7)</f>
        <v>120</v>
      </c>
      <c r="Z7" s="17">
        <f t="shared" ref="Z7:Z18" si="11">ROUND(N7/Y7,2)</f>
        <v>333.33</v>
      </c>
      <c r="AA7" s="669">
        <f t="shared" si="5"/>
        <v>312.5</v>
      </c>
      <c r="AB7" s="666"/>
      <c r="AC7" s="670">
        <f t="shared" si="2"/>
        <v>60000</v>
      </c>
      <c r="AD7" s="18">
        <v>18750000</v>
      </c>
      <c r="AF7" s="624">
        <f>ROUND(((E7/K7)*Model!AS32*AD7)+((F7/K7)*Model!AT32*AD7)+((G7/K7)*Model!AV32*AD7),0)</f>
        <v>24468750</v>
      </c>
      <c r="AG7" s="612">
        <f t="shared" si="7"/>
        <v>611.71875</v>
      </c>
      <c r="AI7" s="3">
        <f t="shared" si="8"/>
        <v>5718750</v>
      </c>
      <c r="AJ7" s="19">
        <f t="shared" si="9"/>
        <v>142.96875</v>
      </c>
    </row>
    <row r="8" spans="1:36" x14ac:dyDescent="0.2">
      <c r="A8" t="s">
        <v>398</v>
      </c>
      <c r="B8" t="s">
        <v>24</v>
      </c>
      <c r="C8" s="47">
        <v>7</v>
      </c>
      <c r="D8" s="47">
        <v>4</v>
      </c>
      <c r="E8" s="47">
        <v>120000</v>
      </c>
      <c r="F8" s="47">
        <v>0</v>
      </c>
      <c r="G8" s="47">
        <v>0</v>
      </c>
      <c r="H8" s="45"/>
      <c r="I8" s="45"/>
      <c r="J8" s="45"/>
      <c r="K8" s="663">
        <f t="shared" si="3"/>
        <v>120000</v>
      </c>
      <c r="L8" s="664"/>
      <c r="M8" s="665"/>
      <c r="N8" s="47">
        <v>80000</v>
      </c>
      <c r="O8" s="47">
        <v>0</v>
      </c>
      <c r="P8" s="47">
        <v>40000</v>
      </c>
      <c r="Q8" s="47">
        <v>20000</v>
      </c>
      <c r="R8" s="666">
        <f t="shared" si="6"/>
        <v>20000</v>
      </c>
      <c r="S8" s="667">
        <f t="shared" si="0"/>
        <v>0.5</v>
      </c>
      <c r="T8" s="668">
        <f t="shared" si="1"/>
        <v>3</v>
      </c>
      <c r="U8" s="668">
        <f t="shared" ref="U8:U9" si="12">Y8/(K8/1000)</f>
        <v>2</v>
      </c>
      <c r="V8" s="47"/>
      <c r="W8" s="47">
        <v>240</v>
      </c>
      <c r="X8" s="18"/>
      <c r="Y8" s="669">
        <f t="shared" si="10"/>
        <v>240</v>
      </c>
      <c r="Z8" s="17">
        <f t="shared" si="11"/>
        <v>333.33</v>
      </c>
      <c r="AA8" s="669">
        <f t="shared" si="5"/>
        <v>462.5</v>
      </c>
      <c r="AB8" s="666"/>
      <c r="AC8" s="670">
        <f t="shared" si="2"/>
        <v>120000</v>
      </c>
      <c r="AD8" s="18">
        <v>55500000</v>
      </c>
      <c r="AF8" s="624">
        <f>ROUND(((E8/K8)*Model!AS33*AD8)+((F8/K8)*Model!AT33*AD8)+((G8/K8)*Model!AV33*AD8),0)</f>
        <v>72705000</v>
      </c>
      <c r="AG8" s="612">
        <f t="shared" si="7"/>
        <v>1817.625</v>
      </c>
      <c r="AI8" s="3">
        <f t="shared" si="8"/>
        <v>17205000</v>
      </c>
      <c r="AJ8" s="19">
        <f t="shared" si="9"/>
        <v>430.125</v>
      </c>
    </row>
    <row r="9" spans="1:36" x14ac:dyDescent="0.2">
      <c r="A9" t="s">
        <v>399</v>
      </c>
      <c r="B9" t="s">
        <v>24</v>
      </c>
      <c r="C9" s="47">
        <v>7</v>
      </c>
      <c r="D9" s="47">
        <v>0</v>
      </c>
      <c r="E9" s="47">
        <v>120000</v>
      </c>
      <c r="F9" s="47">
        <v>0</v>
      </c>
      <c r="G9" s="47">
        <v>5000</v>
      </c>
      <c r="H9" s="45"/>
      <c r="I9" s="45"/>
      <c r="J9" s="45"/>
      <c r="K9" s="663">
        <f t="shared" si="3"/>
        <v>125000</v>
      </c>
      <c r="L9" s="664"/>
      <c r="M9" s="665"/>
      <c r="N9" s="47">
        <v>80000</v>
      </c>
      <c r="O9" s="47">
        <v>0</v>
      </c>
      <c r="P9" s="47">
        <v>20000</v>
      </c>
      <c r="Q9" s="47">
        <v>20000</v>
      </c>
      <c r="R9" s="666">
        <f t="shared" si="6"/>
        <v>0</v>
      </c>
      <c r="S9" s="667">
        <f t="shared" si="0"/>
        <v>1</v>
      </c>
      <c r="T9" s="668">
        <f t="shared" si="1"/>
        <v>6.25</v>
      </c>
      <c r="U9" s="668">
        <f t="shared" si="12"/>
        <v>2.04</v>
      </c>
      <c r="V9" s="47"/>
      <c r="W9" s="47"/>
      <c r="X9" s="18">
        <v>255</v>
      </c>
      <c r="Y9" s="669">
        <f t="shared" si="10"/>
        <v>255</v>
      </c>
      <c r="Z9" s="17">
        <f t="shared" si="11"/>
        <v>313.73</v>
      </c>
      <c r="AA9" s="669">
        <f t="shared" si="5"/>
        <v>472.8</v>
      </c>
      <c r="AB9" s="666"/>
      <c r="AC9" s="670">
        <f t="shared" si="2"/>
        <v>125000</v>
      </c>
      <c r="AD9" s="18">
        <v>59100000</v>
      </c>
      <c r="AF9" s="624">
        <f>ROUND(((E9/K9)*Model!AS34*AD9)+((F9/K9)*Model!AT34*AD9)+((G9/K9)*Model!AV34*AD9),0)</f>
        <v>75075439</v>
      </c>
      <c r="AG9" s="612">
        <f t="shared" si="7"/>
        <v>3753.7719499999998</v>
      </c>
      <c r="AI9" s="3">
        <f t="shared" si="8"/>
        <v>15975439</v>
      </c>
      <c r="AJ9" s="19">
        <f t="shared" si="9"/>
        <v>798.77194999999995</v>
      </c>
    </row>
    <row r="10" spans="1:36" x14ac:dyDescent="0.2">
      <c r="A10" s="16" t="s">
        <v>35</v>
      </c>
      <c r="B10" t="s">
        <v>34</v>
      </c>
      <c r="C10" s="47">
        <v>1</v>
      </c>
      <c r="D10" s="47">
        <v>0</v>
      </c>
      <c r="E10" s="47">
        <v>0</v>
      </c>
      <c r="F10" s="47">
        <v>0</v>
      </c>
      <c r="G10" s="47">
        <v>5000</v>
      </c>
      <c r="H10" s="45"/>
      <c r="I10" s="45"/>
      <c r="J10" s="45"/>
      <c r="K10" s="663">
        <f t="shared" si="3"/>
        <v>5000</v>
      </c>
      <c r="L10" s="664"/>
      <c r="M10" s="665"/>
      <c r="N10" s="47">
        <v>5000</v>
      </c>
      <c r="O10" s="47">
        <v>0</v>
      </c>
      <c r="P10" s="47">
        <v>10000</v>
      </c>
      <c r="Q10" s="47">
        <v>5000</v>
      </c>
      <c r="R10" s="666">
        <f t="shared" si="6"/>
        <v>5000</v>
      </c>
      <c r="S10" s="667">
        <f t="shared" si="0"/>
        <v>0.5</v>
      </c>
      <c r="T10" s="668">
        <f t="shared" si="1"/>
        <v>0.5</v>
      </c>
      <c r="U10" s="668">
        <v>3</v>
      </c>
      <c r="V10" s="47">
        <v>15</v>
      </c>
      <c r="W10" s="47"/>
      <c r="X10" s="18"/>
      <c r="Y10" s="669">
        <f t="shared" si="10"/>
        <v>15</v>
      </c>
      <c r="Z10" s="17">
        <f t="shared" si="11"/>
        <v>333.33</v>
      </c>
      <c r="AA10" s="669">
        <f t="shared" si="5"/>
        <v>250</v>
      </c>
      <c r="AB10" s="666"/>
      <c r="AC10" s="670">
        <f t="shared" si="2"/>
        <v>5000</v>
      </c>
      <c r="AD10" s="18">
        <v>1250000</v>
      </c>
      <c r="AF10" s="624">
        <f>ROUND(((E10/K10)*Model!AS35*AD10)+((F10/K10)*Model!AT35*AD10)+((G10/K10)*Model!AV35*AD10),0)</f>
        <v>1625000</v>
      </c>
      <c r="AG10" s="612">
        <f t="shared" si="7"/>
        <v>162.5</v>
      </c>
      <c r="AI10" s="3">
        <f t="shared" si="8"/>
        <v>375000</v>
      </c>
      <c r="AJ10" s="19">
        <f t="shared" si="9"/>
        <v>37.5</v>
      </c>
    </row>
    <row r="11" spans="1:36" x14ac:dyDescent="0.2">
      <c r="A11" s="16" t="s">
        <v>37</v>
      </c>
      <c r="B11" t="s">
        <v>34</v>
      </c>
      <c r="C11" s="47">
        <v>1</v>
      </c>
      <c r="D11" s="47">
        <v>0</v>
      </c>
      <c r="E11" s="47">
        <v>0</v>
      </c>
      <c r="F11" s="47">
        <v>0</v>
      </c>
      <c r="G11" s="47">
        <v>10000</v>
      </c>
      <c r="H11" s="45"/>
      <c r="I11" s="45"/>
      <c r="J11" s="45"/>
      <c r="K11" s="663">
        <f t="shared" si="3"/>
        <v>10000</v>
      </c>
      <c r="L11" s="664"/>
      <c r="M11" s="665"/>
      <c r="N11" s="47">
        <v>10000</v>
      </c>
      <c r="O11" s="47">
        <v>0</v>
      </c>
      <c r="P11" s="47">
        <v>20000</v>
      </c>
      <c r="Q11" s="47">
        <v>10000</v>
      </c>
      <c r="R11" s="666">
        <f t="shared" si="6"/>
        <v>10000</v>
      </c>
      <c r="S11" s="667">
        <f t="shared" si="0"/>
        <v>0.5</v>
      </c>
      <c r="T11" s="668">
        <f t="shared" si="1"/>
        <v>0.5</v>
      </c>
      <c r="U11" s="668">
        <v>3</v>
      </c>
      <c r="V11" s="47">
        <v>30</v>
      </c>
      <c r="W11" s="47"/>
      <c r="X11" s="18"/>
      <c r="Y11" s="669">
        <f t="shared" si="10"/>
        <v>30</v>
      </c>
      <c r="Z11" s="17">
        <f t="shared" si="11"/>
        <v>333.33</v>
      </c>
      <c r="AA11" s="669">
        <f t="shared" si="5"/>
        <v>250</v>
      </c>
      <c r="AB11" s="666"/>
      <c r="AC11" s="670">
        <f t="shared" si="2"/>
        <v>10000</v>
      </c>
      <c r="AD11" s="18">
        <v>2500000</v>
      </c>
      <c r="AF11" s="624">
        <f>ROUND(((E11/K11)*Model!AS36*AD11)+((F11/K11)*Model!AT36*AD11)+((G11/K11)*Model!AV36*AD11),0)</f>
        <v>3250000</v>
      </c>
      <c r="AG11" s="612">
        <f t="shared" si="7"/>
        <v>162.5</v>
      </c>
      <c r="AI11" s="3">
        <f t="shared" si="8"/>
        <v>750000</v>
      </c>
      <c r="AJ11" s="19">
        <f t="shared" si="9"/>
        <v>37.5</v>
      </c>
    </row>
    <row r="12" spans="1:36" x14ac:dyDescent="0.2">
      <c r="A12" t="s">
        <v>39</v>
      </c>
      <c r="B12" t="s">
        <v>34</v>
      </c>
      <c r="C12" s="47">
        <v>2</v>
      </c>
      <c r="D12" s="47">
        <v>0</v>
      </c>
      <c r="E12" s="47">
        <v>0</v>
      </c>
      <c r="F12" s="47">
        <v>0</v>
      </c>
      <c r="G12" s="47">
        <v>40000</v>
      </c>
      <c r="H12" s="45"/>
      <c r="I12" s="45"/>
      <c r="J12" s="45"/>
      <c r="K12" s="663">
        <f t="shared" si="3"/>
        <v>40000</v>
      </c>
      <c r="L12" s="664"/>
      <c r="M12" s="665"/>
      <c r="N12" s="47">
        <v>50000</v>
      </c>
      <c r="O12" s="47">
        <v>0</v>
      </c>
      <c r="P12" s="47">
        <v>50000</v>
      </c>
      <c r="Q12" s="47">
        <v>40000</v>
      </c>
      <c r="R12" s="666">
        <f t="shared" si="6"/>
        <v>10000</v>
      </c>
      <c r="S12" s="667">
        <f t="shared" si="0"/>
        <v>0.8</v>
      </c>
      <c r="T12" s="668">
        <f t="shared" si="1"/>
        <v>0.8</v>
      </c>
      <c r="U12" s="668">
        <v>4</v>
      </c>
      <c r="V12" s="47">
        <v>32</v>
      </c>
      <c r="W12" s="47"/>
      <c r="X12" s="18">
        <v>128</v>
      </c>
      <c r="Y12" s="669">
        <f t="shared" si="10"/>
        <v>160</v>
      </c>
      <c r="Z12" s="17">
        <f t="shared" si="11"/>
        <v>312.5</v>
      </c>
      <c r="AA12" s="669">
        <f t="shared" si="5"/>
        <v>287.5</v>
      </c>
      <c r="AB12" s="666"/>
      <c r="AC12" s="670">
        <f t="shared" si="2"/>
        <v>40000</v>
      </c>
      <c r="AD12" s="18">
        <v>11500000</v>
      </c>
      <c r="AF12" s="624">
        <f>ROUND(((E12/K12)*Model!AS37*AD12)+((F12/K12)*Model!AT37*AD12)+((G12/K12)*Model!AV37*AD12),0)</f>
        <v>15624751</v>
      </c>
      <c r="AG12" s="612">
        <f t="shared" si="7"/>
        <v>312.49502000000001</v>
      </c>
      <c r="AI12" s="3">
        <f t="shared" si="8"/>
        <v>4124751</v>
      </c>
      <c r="AJ12" s="19">
        <f t="shared" si="9"/>
        <v>82.495019999999997</v>
      </c>
    </row>
    <row r="13" spans="1:36" x14ac:dyDescent="0.2">
      <c r="A13" t="s">
        <v>41</v>
      </c>
      <c r="B13" t="s">
        <v>34</v>
      </c>
      <c r="C13" s="47">
        <v>1</v>
      </c>
      <c r="D13" s="47">
        <v>5</v>
      </c>
      <c r="E13" s="47">
        <v>0</v>
      </c>
      <c r="F13" s="47">
        <v>0</v>
      </c>
      <c r="G13" s="47">
        <v>80000</v>
      </c>
      <c r="H13" s="45"/>
      <c r="I13" s="45"/>
      <c r="J13" s="45"/>
      <c r="K13" s="663">
        <f t="shared" si="3"/>
        <v>80000</v>
      </c>
      <c r="L13" s="664"/>
      <c r="M13" s="665"/>
      <c r="N13" s="47">
        <v>100000</v>
      </c>
      <c r="O13" s="47">
        <v>0</v>
      </c>
      <c r="P13" s="47">
        <v>100000</v>
      </c>
      <c r="Q13" s="47">
        <v>80000</v>
      </c>
      <c r="R13" s="666">
        <f t="shared" si="6"/>
        <v>20000</v>
      </c>
      <c r="S13" s="667">
        <f t="shared" si="0"/>
        <v>0.8</v>
      </c>
      <c r="T13" s="668">
        <f t="shared" si="1"/>
        <v>0.8</v>
      </c>
      <c r="U13" s="668">
        <v>4</v>
      </c>
      <c r="V13" s="47"/>
      <c r="W13" s="47">
        <v>320</v>
      </c>
      <c r="X13" s="18"/>
      <c r="Y13" s="669">
        <f t="shared" si="10"/>
        <v>320</v>
      </c>
      <c r="Z13" s="17">
        <f t="shared" si="11"/>
        <v>312.5</v>
      </c>
      <c r="AA13" s="669">
        <f t="shared" si="5"/>
        <v>312.5</v>
      </c>
      <c r="AB13" s="666"/>
      <c r="AC13" s="670">
        <f t="shared" si="2"/>
        <v>80000</v>
      </c>
      <c r="AD13" s="18">
        <v>25000000</v>
      </c>
      <c r="AF13" s="624">
        <f>ROUND(((E13/K13)*Model!AS38*AD13)+((F13/K13)*Model!AT38*AD13)+((G13/K13)*Model!AV38*AD13),0)</f>
        <v>32500000</v>
      </c>
      <c r="AG13" s="612">
        <f t="shared" si="7"/>
        <v>325</v>
      </c>
      <c r="AI13" s="3">
        <f t="shared" si="8"/>
        <v>7500000</v>
      </c>
      <c r="AJ13" s="19">
        <f t="shared" si="9"/>
        <v>75</v>
      </c>
    </row>
    <row r="14" spans="1:36" x14ac:dyDescent="0.2">
      <c r="A14" t="s">
        <v>14</v>
      </c>
      <c r="B14" t="s">
        <v>10</v>
      </c>
      <c r="C14" s="47">
        <v>3</v>
      </c>
      <c r="D14" s="47">
        <v>0</v>
      </c>
      <c r="E14" s="47">
        <v>0</v>
      </c>
      <c r="F14" s="47">
        <v>20000</v>
      </c>
      <c r="G14" s="47">
        <v>0</v>
      </c>
      <c r="H14" s="45"/>
      <c r="I14" s="45"/>
      <c r="J14" s="45"/>
      <c r="K14" s="663">
        <f t="shared" si="3"/>
        <v>20000</v>
      </c>
      <c r="L14" s="664">
        <f>ROUND(F14/M14,2)</f>
        <v>2500</v>
      </c>
      <c r="M14" s="665">
        <v>8</v>
      </c>
      <c r="N14" s="47">
        <v>4000</v>
      </c>
      <c r="O14" s="47">
        <v>0</v>
      </c>
      <c r="P14" s="47">
        <v>10000</v>
      </c>
      <c r="Q14" s="47">
        <v>10000</v>
      </c>
      <c r="R14" s="666">
        <f>P14-Q14</f>
        <v>0</v>
      </c>
      <c r="S14" s="667">
        <f t="shared" si="0"/>
        <v>1</v>
      </c>
      <c r="T14" s="668">
        <f t="shared" si="1"/>
        <v>2</v>
      </c>
      <c r="U14" s="668">
        <f>Y14/M14</f>
        <v>2</v>
      </c>
      <c r="V14" s="47"/>
      <c r="W14" s="47">
        <v>16</v>
      </c>
      <c r="X14" s="18"/>
      <c r="Y14" s="669">
        <f t="shared" si="10"/>
        <v>16</v>
      </c>
      <c r="Z14" s="17">
        <f t="shared" si="11"/>
        <v>250</v>
      </c>
      <c r="AA14" s="669">
        <f t="shared" si="5"/>
        <v>163</v>
      </c>
      <c r="AB14" s="666">
        <f>AD14/M14</f>
        <v>407500</v>
      </c>
      <c r="AC14" s="670">
        <f t="shared" si="2"/>
        <v>20000</v>
      </c>
      <c r="AD14" s="18">
        <v>3260000</v>
      </c>
      <c r="AF14" s="624">
        <f>ROUND(((E14/K14)*Model!AS25*AD14)+((F14/K14)*Model!AT25*AD14)+((G14/K14)*Model!AV25*AD14),0)</f>
        <v>4238000</v>
      </c>
      <c r="AG14" s="612">
        <f t="shared" si="7"/>
        <v>423.8</v>
      </c>
      <c r="AI14" s="3">
        <f t="shared" si="8"/>
        <v>978000</v>
      </c>
      <c r="AJ14" s="19">
        <f t="shared" si="9"/>
        <v>97.8</v>
      </c>
    </row>
    <row r="15" spans="1:36" x14ac:dyDescent="0.2">
      <c r="A15" t="s">
        <v>16</v>
      </c>
      <c r="B15" t="s">
        <v>10</v>
      </c>
      <c r="C15" s="47">
        <v>5</v>
      </c>
      <c r="D15" s="47">
        <v>0</v>
      </c>
      <c r="E15" s="47">
        <v>0</v>
      </c>
      <c r="F15" s="47">
        <v>80000</v>
      </c>
      <c r="G15" s="47">
        <v>0</v>
      </c>
      <c r="H15" s="45"/>
      <c r="I15" s="45"/>
      <c r="J15" s="45"/>
      <c r="K15" s="663">
        <f t="shared" si="3"/>
        <v>80000</v>
      </c>
      <c r="L15" s="664">
        <f t="shared" ref="L15:L18" si="13">ROUND(F15/M15,2)</f>
        <v>1333.33</v>
      </c>
      <c r="M15" s="665">
        <v>60</v>
      </c>
      <c r="N15" s="47">
        <v>20000</v>
      </c>
      <c r="O15" s="47">
        <v>0</v>
      </c>
      <c r="P15" s="47">
        <v>20000</v>
      </c>
      <c r="Q15" s="47">
        <v>20000</v>
      </c>
      <c r="R15" s="666">
        <f t="shared" si="6"/>
        <v>0</v>
      </c>
      <c r="S15" s="667">
        <f t="shared" si="0"/>
        <v>1</v>
      </c>
      <c r="T15" s="668">
        <f t="shared" si="1"/>
        <v>4</v>
      </c>
      <c r="U15" s="668">
        <f t="shared" ref="U15:U17" si="14">Y15/M15</f>
        <v>0.85</v>
      </c>
      <c r="V15" s="47"/>
      <c r="W15" s="47">
        <v>51</v>
      </c>
      <c r="X15" s="18"/>
      <c r="Y15" s="669">
        <f t="shared" si="10"/>
        <v>51</v>
      </c>
      <c r="Z15" s="17">
        <f t="shared" si="11"/>
        <v>392.16</v>
      </c>
      <c r="AA15" s="669">
        <f t="shared" si="5"/>
        <v>157.5</v>
      </c>
      <c r="AB15" s="666">
        <f>AD15/M15</f>
        <v>210000</v>
      </c>
      <c r="AC15" s="670">
        <f t="shared" si="2"/>
        <v>80000</v>
      </c>
      <c r="AD15" s="18">
        <v>12600000</v>
      </c>
      <c r="AF15" s="624">
        <f>ROUND(((E15/K15)*Model!AS26*AD15)+((F15/K15)*Model!AT26*AD15)+((G15/K15)*Model!AV26*AD15),0)</f>
        <v>16632000</v>
      </c>
      <c r="AG15" s="612">
        <f t="shared" si="7"/>
        <v>831.6</v>
      </c>
      <c r="AI15" s="3">
        <f t="shared" si="8"/>
        <v>4032000</v>
      </c>
      <c r="AJ15" s="19">
        <f t="shared" si="9"/>
        <v>201.6</v>
      </c>
    </row>
    <row r="16" spans="1:36" x14ac:dyDescent="0.2">
      <c r="A16" t="s">
        <v>181</v>
      </c>
      <c r="B16" t="s">
        <v>10</v>
      </c>
      <c r="C16" s="47">
        <v>5</v>
      </c>
      <c r="D16" s="47">
        <v>0</v>
      </c>
      <c r="E16" s="47">
        <v>0</v>
      </c>
      <c r="F16" s="47">
        <v>80000</v>
      </c>
      <c r="G16" s="47">
        <v>5000</v>
      </c>
      <c r="H16" s="45"/>
      <c r="I16" s="45"/>
      <c r="J16" s="45"/>
      <c r="K16" s="663">
        <f t="shared" si="3"/>
        <v>85000</v>
      </c>
      <c r="L16" s="664">
        <f t="shared" si="13"/>
        <v>1333.33</v>
      </c>
      <c r="M16" s="665">
        <v>60</v>
      </c>
      <c r="N16" s="47">
        <v>26000</v>
      </c>
      <c r="O16" s="47">
        <v>0</v>
      </c>
      <c r="P16" s="47">
        <v>20000</v>
      </c>
      <c r="Q16" s="47">
        <v>20000</v>
      </c>
      <c r="R16" s="666">
        <f t="shared" si="6"/>
        <v>0</v>
      </c>
      <c r="S16" s="667">
        <f t="shared" si="0"/>
        <v>1</v>
      </c>
      <c r="T16" s="668">
        <f t="shared" si="1"/>
        <v>4.25</v>
      </c>
      <c r="U16" s="668"/>
      <c r="V16" s="47">
        <v>13</v>
      </c>
      <c r="W16" s="47"/>
      <c r="X16" s="18">
        <v>53</v>
      </c>
      <c r="Y16" s="669">
        <f t="shared" si="10"/>
        <v>66</v>
      </c>
      <c r="Z16" s="17">
        <f t="shared" si="11"/>
        <v>393.94</v>
      </c>
      <c r="AA16" s="669">
        <f t="shared" si="5"/>
        <v>199.85</v>
      </c>
      <c r="AB16" s="666">
        <f>AD16/M16</f>
        <v>283125</v>
      </c>
      <c r="AC16" s="670">
        <f t="shared" si="2"/>
        <v>85000</v>
      </c>
      <c r="AD16" s="18">
        <v>16987500</v>
      </c>
      <c r="AF16" s="624">
        <f>ROUND(((E16/K16)*Model!AS27*AD16)+((F16/K16)*Model!AT27*AD16)+((G16/K16)*Model!AV27*AD16),0)</f>
        <v>21731409</v>
      </c>
      <c r="AG16" s="612">
        <f t="shared" si="7"/>
        <v>1086.5704499999999</v>
      </c>
      <c r="AI16" s="3">
        <f t="shared" si="8"/>
        <v>4743909</v>
      </c>
      <c r="AJ16" s="19">
        <f t="shared" si="9"/>
        <v>237.19544999999999</v>
      </c>
    </row>
    <row r="17" spans="1:36" x14ac:dyDescent="0.2">
      <c r="A17" t="s">
        <v>223</v>
      </c>
      <c r="B17" t="s">
        <v>10</v>
      </c>
      <c r="C17" s="47">
        <v>10</v>
      </c>
      <c r="D17" s="47">
        <v>0</v>
      </c>
      <c r="E17" s="47">
        <v>0</v>
      </c>
      <c r="F17" s="47">
        <v>80000</v>
      </c>
      <c r="G17" s="47">
        <v>0</v>
      </c>
      <c r="H17" s="45"/>
      <c r="I17" s="45"/>
      <c r="J17" s="45"/>
      <c r="K17" s="663">
        <f t="shared" si="3"/>
        <v>80000</v>
      </c>
      <c r="L17" s="664">
        <f t="shared" si="13"/>
        <v>1428.57</v>
      </c>
      <c r="M17" s="665">
        <v>56</v>
      </c>
      <c r="N17" s="47">
        <v>30000</v>
      </c>
      <c r="O17" s="47">
        <v>0</v>
      </c>
      <c r="P17" s="47">
        <v>20000</v>
      </c>
      <c r="Q17" s="47">
        <v>20000</v>
      </c>
      <c r="R17" s="666">
        <f t="shared" si="6"/>
        <v>0</v>
      </c>
      <c r="S17" s="667">
        <f t="shared" si="0"/>
        <v>1</v>
      </c>
      <c r="T17" s="668">
        <f t="shared" si="1"/>
        <v>4</v>
      </c>
      <c r="U17" s="668">
        <f t="shared" si="14"/>
        <v>1.5</v>
      </c>
      <c r="V17" s="47"/>
      <c r="W17" s="47">
        <v>84</v>
      </c>
      <c r="X17" s="18"/>
      <c r="Y17" s="669">
        <f t="shared" si="10"/>
        <v>84</v>
      </c>
      <c r="Z17" s="17">
        <f t="shared" si="11"/>
        <v>357.14</v>
      </c>
      <c r="AA17" s="669">
        <f t="shared" si="5"/>
        <v>341</v>
      </c>
      <c r="AB17" s="666">
        <f>AD17/M17</f>
        <v>487142.85714285716</v>
      </c>
      <c r="AC17" s="670">
        <f t="shared" si="2"/>
        <v>80000</v>
      </c>
      <c r="AD17" s="18">
        <v>27280000</v>
      </c>
      <c r="AF17" s="624">
        <f>ROUND(((E17/K17)*Model!AS28*AD17)+((F17/K17)*Model!AT28*AD17)+((G17/K17)*Model!AV28*AD17),0)</f>
        <v>38382960</v>
      </c>
      <c r="AG17" s="612">
        <f t="shared" si="7"/>
        <v>1919.1479999999999</v>
      </c>
      <c r="AI17" s="3">
        <f t="shared" si="8"/>
        <v>11102960</v>
      </c>
      <c r="AJ17" s="19">
        <f t="shared" si="9"/>
        <v>555.14800000000002</v>
      </c>
    </row>
    <row r="18" spans="1:36" x14ac:dyDescent="0.2">
      <c r="A18" t="s">
        <v>183</v>
      </c>
      <c r="B18" t="s">
        <v>10</v>
      </c>
      <c r="C18" s="47">
        <v>9</v>
      </c>
      <c r="D18" s="47">
        <v>0</v>
      </c>
      <c r="E18" s="47">
        <v>0</v>
      </c>
      <c r="F18" s="47">
        <v>80000</v>
      </c>
      <c r="G18" s="47">
        <v>5000</v>
      </c>
      <c r="H18" s="45"/>
      <c r="I18" s="45"/>
      <c r="J18" s="45"/>
      <c r="K18" s="663">
        <f t="shared" si="3"/>
        <v>85000</v>
      </c>
      <c r="L18" s="664">
        <f t="shared" si="13"/>
        <v>1428.57</v>
      </c>
      <c r="M18" s="665">
        <v>56</v>
      </c>
      <c r="N18" s="47">
        <v>35000</v>
      </c>
      <c r="O18" s="47">
        <v>0</v>
      </c>
      <c r="P18" s="47">
        <v>20000</v>
      </c>
      <c r="Q18" s="47">
        <v>20000</v>
      </c>
      <c r="R18" s="666">
        <f t="shared" si="6"/>
        <v>0</v>
      </c>
      <c r="S18" s="667">
        <f t="shared" si="0"/>
        <v>1</v>
      </c>
      <c r="T18" s="668">
        <f t="shared" si="1"/>
        <v>4.25</v>
      </c>
      <c r="U18" s="668"/>
      <c r="V18" s="47">
        <v>14</v>
      </c>
      <c r="W18" s="47"/>
      <c r="X18" s="18">
        <v>85</v>
      </c>
      <c r="Y18" s="669">
        <f t="shared" si="10"/>
        <v>99</v>
      </c>
      <c r="Z18" s="17">
        <f t="shared" si="11"/>
        <v>353.54</v>
      </c>
      <c r="AA18" s="669">
        <f t="shared" si="5"/>
        <v>368.82</v>
      </c>
      <c r="AB18" s="666">
        <f>AD18/M18</f>
        <v>559821.42857142852</v>
      </c>
      <c r="AC18" s="670">
        <f t="shared" si="2"/>
        <v>85000</v>
      </c>
      <c r="AD18" s="18">
        <v>31350000</v>
      </c>
      <c r="AF18" s="624">
        <f>ROUND(((E18/K18)*Model!AS29*AD18)+((F18/K18)*Model!AT29*AD18)+((G18/K18)*Model!AV29*AD18),0)</f>
        <v>43033887</v>
      </c>
      <c r="AG18" s="612">
        <f t="shared" si="7"/>
        <v>2151.6943500000002</v>
      </c>
      <c r="AI18" s="3">
        <f t="shared" si="8"/>
        <v>11683887</v>
      </c>
      <c r="AJ18" s="19">
        <f t="shared" si="9"/>
        <v>584.19434999999999</v>
      </c>
    </row>
    <row r="19" spans="1:36" x14ac:dyDescent="0.2">
      <c r="A19" t="s">
        <v>403</v>
      </c>
      <c r="B19" t="s">
        <v>54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5"/>
      <c r="I19" s="45"/>
      <c r="J19" s="45"/>
      <c r="K19" s="663">
        <f t="shared" si="3"/>
        <v>0</v>
      </c>
      <c r="L19" s="664"/>
      <c r="M19" s="665"/>
      <c r="N19" s="47">
        <v>0</v>
      </c>
      <c r="O19" s="47">
        <v>5000</v>
      </c>
      <c r="P19" s="47">
        <v>5000</v>
      </c>
      <c r="Q19" s="47">
        <v>5000</v>
      </c>
      <c r="R19" s="47"/>
      <c r="S19" s="667">
        <f t="shared" si="0"/>
        <v>1</v>
      </c>
      <c r="T19" s="668">
        <f t="shared" si="1"/>
        <v>1</v>
      </c>
      <c r="U19" s="668">
        <v>0</v>
      </c>
      <c r="V19" s="47"/>
      <c r="W19" s="47"/>
      <c r="X19" s="18"/>
      <c r="Y19" s="18"/>
      <c r="Z19" s="18"/>
      <c r="AA19" s="669">
        <f t="shared" si="5"/>
        <v>92.5</v>
      </c>
      <c r="AB19" s="666"/>
      <c r="AC19" s="670">
        <f t="shared" si="2"/>
        <v>5000</v>
      </c>
      <c r="AD19" s="18">
        <v>462500</v>
      </c>
      <c r="AF19" s="648" t="s">
        <v>429</v>
      </c>
      <c r="AG19" s="191" t="s">
        <v>429</v>
      </c>
      <c r="AI19" s="191" t="s">
        <v>429</v>
      </c>
      <c r="AJ19" s="191" t="s">
        <v>429</v>
      </c>
    </row>
    <row r="20" spans="1:36" x14ac:dyDescent="0.2">
      <c r="A20" t="s">
        <v>404</v>
      </c>
      <c r="B20" t="s">
        <v>54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5"/>
      <c r="I20" s="45"/>
      <c r="J20" s="45"/>
      <c r="K20" s="663">
        <f t="shared" si="3"/>
        <v>0</v>
      </c>
      <c r="L20" s="664"/>
      <c r="M20" s="665"/>
      <c r="N20" s="47">
        <v>0</v>
      </c>
      <c r="O20" s="47">
        <v>10000</v>
      </c>
      <c r="P20" s="47">
        <v>10000</v>
      </c>
      <c r="Q20" s="47">
        <v>10000</v>
      </c>
      <c r="R20" s="47"/>
      <c r="S20" s="667">
        <f t="shared" si="0"/>
        <v>1</v>
      </c>
      <c r="T20" s="668">
        <f t="shared" si="1"/>
        <v>1</v>
      </c>
      <c r="U20" s="668">
        <v>0</v>
      </c>
      <c r="V20" s="49"/>
      <c r="W20" s="49"/>
      <c r="X20" s="18"/>
      <c r="Y20" s="18"/>
      <c r="Z20" s="18"/>
      <c r="AA20" s="669">
        <f t="shared" si="5"/>
        <v>97.5</v>
      </c>
      <c r="AB20" s="666"/>
      <c r="AC20" s="670">
        <f t="shared" si="2"/>
        <v>10000</v>
      </c>
      <c r="AD20" s="18">
        <v>975000</v>
      </c>
      <c r="AF20" s="648" t="s">
        <v>429</v>
      </c>
      <c r="AG20" s="191" t="s">
        <v>429</v>
      </c>
      <c r="AI20" s="191" t="s">
        <v>429</v>
      </c>
      <c r="AJ20" s="191" t="s">
        <v>429</v>
      </c>
    </row>
    <row r="21" spans="1:36" x14ac:dyDescent="0.2">
      <c r="A21" t="s">
        <v>405</v>
      </c>
      <c r="B21" t="s">
        <v>54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5"/>
      <c r="I21" s="45"/>
      <c r="J21" s="45"/>
      <c r="K21" s="663">
        <f t="shared" si="3"/>
        <v>0</v>
      </c>
      <c r="L21" s="664"/>
      <c r="M21" s="665"/>
      <c r="N21" s="47">
        <v>0</v>
      </c>
      <c r="O21" s="47">
        <v>10000</v>
      </c>
      <c r="P21" s="47">
        <v>10000</v>
      </c>
      <c r="Q21" s="47">
        <v>10000</v>
      </c>
      <c r="R21" s="47"/>
      <c r="S21" s="667">
        <f t="shared" si="0"/>
        <v>1</v>
      </c>
      <c r="T21" s="668">
        <f t="shared" si="1"/>
        <v>1</v>
      </c>
      <c r="U21" s="668">
        <v>0</v>
      </c>
      <c r="V21" s="49"/>
      <c r="W21" s="49"/>
      <c r="X21" s="18"/>
      <c r="Y21" s="18"/>
      <c r="Z21" s="18"/>
      <c r="AA21" s="669">
        <f t="shared" si="5"/>
        <v>150</v>
      </c>
      <c r="AB21" s="666"/>
      <c r="AC21" s="670">
        <f t="shared" si="2"/>
        <v>10000</v>
      </c>
      <c r="AD21" s="18">
        <v>1500000</v>
      </c>
      <c r="AF21" s="648" t="s">
        <v>429</v>
      </c>
      <c r="AG21" s="191" t="s">
        <v>429</v>
      </c>
      <c r="AI21" s="191" t="s">
        <v>429</v>
      </c>
      <c r="AJ21" s="191" t="s">
        <v>429</v>
      </c>
    </row>
    <row r="22" spans="1:36" x14ac:dyDescent="0.2">
      <c r="A22" t="s">
        <v>98</v>
      </c>
      <c r="B22" t="s">
        <v>395</v>
      </c>
      <c r="C22" s="47">
        <v>3</v>
      </c>
      <c r="D22" s="47">
        <v>0</v>
      </c>
      <c r="E22" s="47">
        <v>0</v>
      </c>
      <c r="F22" s="47">
        <v>0</v>
      </c>
      <c r="G22" s="47">
        <v>0</v>
      </c>
      <c r="H22" s="45"/>
      <c r="I22" s="45"/>
      <c r="J22" s="47">
        <v>60000</v>
      </c>
      <c r="K22" s="663">
        <f t="shared" si="3"/>
        <v>60000</v>
      </c>
      <c r="L22" s="662"/>
      <c r="M22" s="48"/>
      <c r="N22" s="47">
        <v>0</v>
      </c>
      <c r="O22" s="47">
        <v>0</v>
      </c>
      <c r="P22" s="47">
        <v>20000</v>
      </c>
      <c r="Q22" s="47">
        <v>20000</v>
      </c>
      <c r="R22" s="47"/>
      <c r="S22" s="667">
        <f>Q22/P22</f>
        <v>1</v>
      </c>
      <c r="T22" s="668">
        <f t="shared" si="1"/>
        <v>3</v>
      </c>
      <c r="U22" s="668">
        <v>0</v>
      </c>
      <c r="V22" s="49"/>
      <c r="W22" s="49"/>
      <c r="X22" s="18"/>
      <c r="Y22" s="18"/>
      <c r="Z22" s="18"/>
      <c r="AA22" s="669">
        <f t="shared" si="5"/>
        <v>0</v>
      </c>
      <c r="AB22" s="666"/>
      <c r="AC22" s="670">
        <f t="shared" si="2"/>
        <v>60000</v>
      </c>
      <c r="AD22" s="18">
        <v>0</v>
      </c>
      <c r="AF22" s="648" t="s">
        <v>429</v>
      </c>
      <c r="AG22" s="191" t="s">
        <v>429</v>
      </c>
      <c r="AI22" s="191" t="s">
        <v>429</v>
      </c>
      <c r="AJ22" s="191" t="s">
        <v>429</v>
      </c>
    </row>
    <row r="23" spans="1:36" x14ac:dyDescent="0.2">
      <c r="A23" s="22" t="s">
        <v>406</v>
      </c>
      <c r="B23" s="22"/>
      <c r="C23" s="22" t="s">
        <v>406</v>
      </c>
      <c r="D23" s="22" t="s">
        <v>406</v>
      </c>
      <c r="E23" s="22" t="s">
        <v>406</v>
      </c>
      <c r="F23" s="22" t="s">
        <v>406</v>
      </c>
      <c r="G23" s="22" t="s">
        <v>406</v>
      </c>
      <c r="H23" s="22" t="s">
        <v>406</v>
      </c>
      <c r="I23" s="22"/>
      <c r="J23" s="22"/>
      <c r="K23" s="22" t="s">
        <v>406</v>
      </c>
      <c r="L23" s="642" t="s">
        <v>406</v>
      </c>
      <c r="M23" s="22" t="s">
        <v>406</v>
      </c>
      <c r="N23" s="22" t="s">
        <v>406</v>
      </c>
      <c r="O23" s="22" t="s">
        <v>406</v>
      </c>
      <c r="P23" s="22" t="s">
        <v>406</v>
      </c>
      <c r="Q23" s="22" t="s">
        <v>406</v>
      </c>
      <c r="R23" s="22"/>
      <c r="S23" s="22" t="s">
        <v>406</v>
      </c>
      <c r="T23" s="22" t="s">
        <v>406</v>
      </c>
      <c r="U23" s="644" t="s">
        <v>406</v>
      </c>
      <c r="V23" s="22" t="s">
        <v>406</v>
      </c>
      <c r="W23" s="22" t="s">
        <v>406</v>
      </c>
      <c r="X23" s="53" t="s">
        <v>406</v>
      </c>
      <c r="Y23" s="53" t="s">
        <v>406</v>
      </c>
      <c r="Z23" s="53"/>
      <c r="AA23" s="53" t="s">
        <v>406</v>
      </c>
      <c r="AB23" s="22"/>
      <c r="AC23" s="22" t="s">
        <v>406</v>
      </c>
      <c r="AD23" s="642" t="s">
        <v>406</v>
      </c>
      <c r="AE23" s="22" t="s">
        <v>406</v>
      </c>
      <c r="AF23" s="53" t="s">
        <v>406</v>
      </c>
      <c r="AG23" s="22" t="s">
        <v>406</v>
      </c>
      <c r="AH23" s="22" t="s">
        <v>406</v>
      </c>
      <c r="AI23" s="22" t="s">
        <v>406</v>
      </c>
      <c r="AJ23" s="22" t="s">
        <v>406</v>
      </c>
    </row>
    <row r="24" spans="1:36" x14ac:dyDescent="0.2">
      <c r="E24" s="19"/>
      <c r="F24" s="19"/>
      <c r="G24" s="19"/>
      <c r="H24" s="19"/>
      <c r="I24" s="19"/>
      <c r="J24" s="19"/>
      <c r="K24" s="19"/>
      <c r="M24" s="19"/>
      <c r="N24" s="19"/>
      <c r="O24" s="19"/>
      <c r="P24" s="19"/>
      <c r="Q24" s="19"/>
      <c r="R24" s="19"/>
      <c r="S24" s="19"/>
      <c r="T24" s="19"/>
      <c r="AB24" s="19"/>
      <c r="AC24" s="19"/>
    </row>
    <row r="25" spans="1:36" x14ac:dyDescent="0.2">
      <c r="AF25" s="649" t="s">
        <v>430</v>
      </c>
    </row>
    <row r="26" spans="1:36" x14ac:dyDescent="0.2"/>
    <row r="27" spans="1:36" x14ac:dyDescent="0.2"/>
    <row r="28" spans="1:36" x14ac:dyDescent="0.2"/>
    <row r="30" spans="1:36" hidden="1" x14ac:dyDescent="0.2">
      <c r="O30" s="525"/>
    </row>
    <row r="31" spans="1:36" hidden="1" x14ac:dyDescent="0.2">
      <c r="O31" s="525"/>
    </row>
    <row r="32" spans="1:36" hidden="1" x14ac:dyDescent="0.2">
      <c r="O32" s="525"/>
    </row>
    <row r="33" spans="15:23" hidden="1" x14ac:dyDescent="0.2">
      <c r="O33" s="525"/>
      <c r="V33" s="3"/>
      <c r="W33" s="3"/>
    </row>
    <row r="34" spans="15:23" hidden="1" x14ac:dyDescent="0.2">
      <c r="O34" s="525"/>
      <c r="V34" s="3"/>
      <c r="W34" s="3"/>
    </row>
    <row r="35" spans="15:23" hidden="1" x14ac:dyDescent="0.2">
      <c r="O35" s="525"/>
      <c r="V35" s="3"/>
      <c r="W35" s="3"/>
    </row>
    <row r="36" spans="15:23" hidden="1" x14ac:dyDescent="0.2">
      <c r="O36" s="525"/>
      <c r="V36" s="3"/>
      <c r="W36" s="3"/>
    </row>
    <row r="37" spans="15:23" hidden="1" x14ac:dyDescent="0.2">
      <c r="O37" s="525"/>
    </row>
    <row r="38" spans="15:23" hidden="1" x14ac:dyDescent="0.2">
      <c r="O38" s="525"/>
    </row>
    <row r="39" spans="15:23" hidden="1" x14ac:dyDescent="0.2">
      <c r="O39" s="525"/>
    </row>
    <row r="40" spans="15:23" hidden="1" x14ac:dyDescent="0.2">
      <c r="O40" s="525"/>
    </row>
    <row r="41" spans="15:23" hidden="1" x14ac:dyDescent="0.2">
      <c r="O41" s="525"/>
    </row>
    <row r="42" spans="15:23" hidden="1" x14ac:dyDescent="0.2">
      <c r="O42" s="525"/>
    </row>
    <row r="43" spans="15:23" hidden="1" x14ac:dyDescent="0.2">
      <c r="O43" s="525"/>
    </row>
  </sheetData>
  <sheetProtection algorithmName="SHA-512" hashValue="gbTsHysS/+J6la7B73fWCGo/yac7xK15Ws7N/k5MGddqA4E+G/2GYN9DMeIWIaG+ZnOaL3s5JxxxUpELhU8j0w==" saltValue="f6mLhwkC0vj9O76kv+QACQ==" spinCount="100000" sheet="1" objects="1" scenarios="1"/>
  <pageMargins left="0.7" right="0.7" top="0.75" bottom="0.75" header="0.3" footer="0.3"/>
  <pageSetup scale="80" fitToWidth="3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3CDD-C81D-4703-9DBD-7CD7A41E06C6}">
  <sheetPr codeName="Sheet16">
    <tabColor theme="0" tint="-0.14999847407452621"/>
  </sheetPr>
  <dimension ref="A1:E140"/>
  <sheetViews>
    <sheetView showGridLines="0" topLeftCell="A42" workbookViewId="0">
      <selection activeCell="K36" sqref="K36"/>
    </sheetView>
  </sheetViews>
  <sheetFormatPr baseColWidth="10" defaultColWidth="0" defaultRowHeight="15" zeroHeight="1" x14ac:dyDescent="0.2"/>
  <cols>
    <col min="1" max="1" width="23.5" customWidth="1"/>
    <col min="2" max="2" width="3.1640625" customWidth="1"/>
    <col min="3" max="3" width="8.83203125" style="376" customWidth="1"/>
    <col min="4" max="5" width="8.83203125" customWidth="1"/>
    <col min="6" max="16384" width="8.83203125" style="376" hidden="1"/>
  </cols>
  <sheetData>
    <row r="1" spans="1:5" x14ac:dyDescent="0.2"/>
    <row r="2" spans="1:5" x14ac:dyDescent="0.2"/>
    <row r="3" spans="1:5" s="375" customFormat="1" x14ac:dyDescent="0.2">
      <c r="A3" s="376" t="s">
        <v>431</v>
      </c>
      <c r="B3" s="6"/>
      <c r="D3" s="6"/>
      <c r="E3" s="6"/>
    </row>
    <row r="4" spans="1:5" x14ac:dyDescent="0.2">
      <c r="A4" t="s">
        <v>130</v>
      </c>
      <c r="C4" s="519" t="str">
        <f>Summary!C4</f>
        <v>Name</v>
      </c>
    </row>
    <row r="5" spans="1:5" x14ac:dyDescent="0.2">
      <c r="A5" t="s">
        <v>132</v>
      </c>
      <c r="C5" s="368" t="str">
        <f>Summary!C5</f>
        <v>Number</v>
      </c>
    </row>
    <row r="6" spans="1:5" x14ac:dyDescent="0.2">
      <c r="A6" t="s">
        <v>432</v>
      </c>
      <c r="C6" s="519" t="str">
        <f>Summary!C6</f>
        <v>Location</v>
      </c>
    </row>
    <row r="7" spans="1:5" x14ac:dyDescent="0.2">
      <c r="A7" t="s">
        <v>433</v>
      </c>
      <c r="C7" s="376">
        <f>'Block Builder'!C6</f>
        <v>0</v>
      </c>
    </row>
    <row r="8" spans="1:5" x14ac:dyDescent="0.2">
      <c r="A8" t="s">
        <v>434</v>
      </c>
      <c r="C8" s="376">
        <f>'Block Builder'!D6</f>
        <v>3</v>
      </c>
    </row>
    <row r="9" spans="1:5" x14ac:dyDescent="0.2">
      <c r="A9" t="s">
        <v>435</v>
      </c>
      <c r="C9" s="376">
        <f>'Block Builder'!E6</f>
        <v>3</v>
      </c>
    </row>
    <row r="10" spans="1:5" x14ac:dyDescent="0.2">
      <c r="A10" t="s">
        <v>436</v>
      </c>
      <c r="C10" s="376">
        <f>'Block Builder'!F6</f>
        <v>0</v>
      </c>
    </row>
    <row r="11" spans="1:5" x14ac:dyDescent="0.2">
      <c r="A11" t="s">
        <v>437</v>
      </c>
      <c r="C11" s="376">
        <f>'Block Builder'!G6</f>
        <v>0</v>
      </c>
    </row>
    <row r="12" spans="1:5" x14ac:dyDescent="0.2">
      <c r="A12" t="s">
        <v>438</v>
      </c>
      <c r="C12" s="376">
        <f>'Block Builder'!H6</f>
        <v>3</v>
      </c>
    </row>
    <row r="13" spans="1:5" x14ac:dyDescent="0.2">
      <c r="A13" t="s">
        <v>439</v>
      </c>
      <c r="C13" s="376">
        <f>'Block Builder'!C7</f>
        <v>0</v>
      </c>
    </row>
    <row r="14" spans="1:5" x14ac:dyDescent="0.2">
      <c r="A14" t="s">
        <v>440</v>
      </c>
      <c r="C14" s="376">
        <f>'Block Builder'!D7</f>
        <v>0</v>
      </c>
    </row>
    <row r="15" spans="1:5" x14ac:dyDescent="0.2">
      <c r="A15" t="s">
        <v>441</v>
      </c>
      <c r="C15" s="376">
        <f>'Block Builder'!E7</f>
        <v>0</v>
      </c>
    </row>
    <row r="16" spans="1:5" x14ac:dyDescent="0.2">
      <c r="A16" t="s">
        <v>442</v>
      </c>
      <c r="C16" s="376">
        <f>'Block Builder'!F7</f>
        <v>2</v>
      </c>
    </row>
    <row r="17" spans="1:3" x14ac:dyDescent="0.2">
      <c r="A17" t="s">
        <v>443</v>
      </c>
      <c r="C17" s="376">
        <f>'Block Builder'!G7</f>
        <v>0</v>
      </c>
    </row>
    <row r="18" spans="1:3" x14ac:dyDescent="0.2">
      <c r="A18" t="s">
        <v>444</v>
      </c>
      <c r="C18" s="376">
        <f>'Block Builder'!H7</f>
        <v>0</v>
      </c>
    </row>
    <row r="19" spans="1:3" x14ac:dyDescent="0.2">
      <c r="A19" t="s">
        <v>445</v>
      </c>
      <c r="C19" s="376">
        <f>'Block Builder'!C8</f>
        <v>0</v>
      </c>
    </row>
    <row r="20" spans="1:3" x14ac:dyDescent="0.2">
      <c r="A20" t="s">
        <v>446</v>
      </c>
      <c r="C20" s="376">
        <f>'Block Builder'!D8</f>
        <v>1</v>
      </c>
    </row>
    <row r="21" spans="1:3" x14ac:dyDescent="0.2">
      <c r="A21" t="s">
        <v>447</v>
      </c>
      <c r="C21" s="376">
        <f>'Block Builder'!E8</f>
        <v>0</v>
      </c>
    </row>
    <row r="22" spans="1:3" x14ac:dyDescent="0.2">
      <c r="A22" t="s">
        <v>448</v>
      </c>
      <c r="C22" s="376">
        <f>'Block Builder'!F8</f>
        <v>0</v>
      </c>
    </row>
    <row r="23" spans="1:3" x14ac:dyDescent="0.2">
      <c r="A23" t="s">
        <v>449</v>
      </c>
      <c r="C23" s="376">
        <f>'Block Builder'!G8</f>
        <v>0</v>
      </c>
    </row>
    <row r="24" spans="1:3" x14ac:dyDescent="0.2">
      <c r="A24" t="s">
        <v>450</v>
      </c>
      <c r="C24" s="376">
        <f>'Block Builder'!H8</f>
        <v>0</v>
      </c>
    </row>
    <row r="25" spans="1:3" x14ac:dyDescent="0.2">
      <c r="A25" t="s">
        <v>451</v>
      </c>
      <c r="C25" s="376">
        <f>'Block Builder'!C9</f>
        <v>0</v>
      </c>
    </row>
    <row r="26" spans="1:3" x14ac:dyDescent="0.2">
      <c r="A26" t="s">
        <v>452</v>
      </c>
      <c r="C26" s="376">
        <f>'Block Builder'!D9</f>
        <v>0</v>
      </c>
    </row>
    <row r="27" spans="1:3" x14ac:dyDescent="0.2">
      <c r="A27" t="s">
        <v>453</v>
      </c>
      <c r="C27" s="376">
        <f>'Block Builder'!E9</f>
        <v>0</v>
      </c>
    </row>
    <row r="28" spans="1:3" x14ac:dyDescent="0.2">
      <c r="A28" t="s">
        <v>454</v>
      </c>
      <c r="C28" s="376">
        <f>'Block Builder'!F9</f>
        <v>0</v>
      </c>
    </row>
    <row r="29" spans="1:3" x14ac:dyDescent="0.2">
      <c r="A29" t="s">
        <v>455</v>
      </c>
      <c r="C29" s="376">
        <f>'Block Builder'!G9</f>
        <v>0</v>
      </c>
    </row>
    <row r="30" spans="1:3" x14ac:dyDescent="0.2">
      <c r="A30" t="s">
        <v>456</v>
      </c>
      <c r="C30" s="376">
        <f>'Block Builder'!H9</f>
        <v>0</v>
      </c>
    </row>
    <row r="31" spans="1:3" x14ac:dyDescent="0.2">
      <c r="A31" t="s">
        <v>457</v>
      </c>
      <c r="C31" s="376">
        <f>'Block Builder'!C10</f>
        <v>0</v>
      </c>
    </row>
    <row r="32" spans="1:3" x14ac:dyDescent="0.2">
      <c r="A32" t="s">
        <v>458</v>
      </c>
      <c r="C32" s="376">
        <f>'Block Builder'!D10</f>
        <v>1</v>
      </c>
    </row>
    <row r="33" spans="1:3" x14ac:dyDescent="0.2">
      <c r="A33" t="s">
        <v>459</v>
      </c>
      <c r="C33" s="376">
        <f>'Block Builder'!E10</f>
        <v>0</v>
      </c>
    </row>
    <row r="34" spans="1:3" x14ac:dyDescent="0.2">
      <c r="A34" t="s">
        <v>460</v>
      </c>
      <c r="C34" s="376">
        <f>'Block Builder'!F10</f>
        <v>0</v>
      </c>
    </row>
    <row r="35" spans="1:3" x14ac:dyDescent="0.2">
      <c r="A35" t="s">
        <v>461</v>
      </c>
      <c r="C35" s="376">
        <f>'Block Builder'!G10</f>
        <v>0</v>
      </c>
    </row>
    <row r="36" spans="1:3" x14ac:dyDescent="0.2">
      <c r="A36" t="s">
        <v>462</v>
      </c>
      <c r="C36" s="376">
        <f>'Block Builder'!H10</f>
        <v>0</v>
      </c>
    </row>
    <row r="37" spans="1:3" x14ac:dyDescent="0.2">
      <c r="A37" t="s">
        <v>463</v>
      </c>
      <c r="C37" s="376">
        <f>'Block Builder'!C12</f>
        <v>0</v>
      </c>
    </row>
    <row r="38" spans="1:3" x14ac:dyDescent="0.2">
      <c r="A38" t="s">
        <v>464</v>
      </c>
      <c r="C38" s="376">
        <f>'Block Builder'!D12</f>
        <v>0</v>
      </c>
    </row>
    <row r="39" spans="1:3" x14ac:dyDescent="0.2">
      <c r="A39" t="s">
        <v>465</v>
      </c>
      <c r="C39" s="376">
        <f>'Block Builder'!E12</f>
        <v>1</v>
      </c>
    </row>
    <row r="40" spans="1:3" x14ac:dyDescent="0.2">
      <c r="A40" t="s">
        <v>466</v>
      </c>
      <c r="C40" s="376">
        <f>'Block Builder'!F12</f>
        <v>0</v>
      </c>
    </row>
    <row r="41" spans="1:3" x14ac:dyDescent="0.2">
      <c r="A41" t="s">
        <v>467</v>
      </c>
      <c r="C41" s="376">
        <f>'Block Builder'!G12</f>
        <v>0</v>
      </c>
    </row>
    <row r="42" spans="1:3" x14ac:dyDescent="0.2">
      <c r="A42" t="s">
        <v>468</v>
      </c>
      <c r="C42" s="376">
        <f>'Block Builder'!H12</f>
        <v>0</v>
      </c>
    </row>
    <row r="43" spans="1:3" x14ac:dyDescent="0.2">
      <c r="A43" t="s">
        <v>469</v>
      </c>
      <c r="C43" s="376">
        <f>'Block Builder'!C13</f>
        <v>1</v>
      </c>
    </row>
    <row r="44" spans="1:3" x14ac:dyDescent="0.2">
      <c r="A44" t="s">
        <v>470</v>
      </c>
      <c r="C44" s="376">
        <f>'Block Builder'!D13</f>
        <v>0</v>
      </c>
    </row>
    <row r="45" spans="1:3" x14ac:dyDescent="0.2">
      <c r="A45" t="s">
        <v>471</v>
      </c>
      <c r="C45" s="376">
        <f>'Block Builder'!E13</f>
        <v>0</v>
      </c>
    </row>
    <row r="46" spans="1:3" x14ac:dyDescent="0.2">
      <c r="A46" t="s">
        <v>472</v>
      </c>
      <c r="C46" s="376">
        <f>'Block Builder'!F13</f>
        <v>0</v>
      </c>
    </row>
    <row r="47" spans="1:3" x14ac:dyDescent="0.2">
      <c r="A47" t="s">
        <v>473</v>
      </c>
      <c r="C47" s="376">
        <f>'Block Builder'!G13</f>
        <v>0</v>
      </c>
    </row>
    <row r="48" spans="1:3" x14ac:dyDescent="0.2">
      <c r="A48" t="s">
        <v>474</v>
      </c>
      <c r="C48" s="376">
        <f>'Block Builder'!H13</f>
        <v>0</v>
      </c>
    </row>
    <row r="49" spans="1:3" x14ac:dyDescent="0.2">
      <c r="A49" t="s">
        <v>475</v>
      </c>
      <c r="C49" s="376">
        <f>'Block Builder'!C14</f>
        <v>0</v>
      </c>
    </row>
    <row r="50" spans="1:3" x14ac:dyDescent="0.2">
      <c r="A50" t="s">
        <v>476</v>
      </c>
      <c r="C50" s="376">
        <f>'Block Builder'!D14</f>
        <v>0</v>
      </c>
    </row>
    <row r="51" spans="1:3" x14ac:dyDescent="0.2">
      <c r="A51" t="s">
        <v>477</v>
      </c>
      <c r="C51" s="376">
        <f>'Block Builder'!E14</f>
        <v>0</v>
      </c>
    </row>
    <row r="52" spans="1:3" x14ac:dyDescent="0.2">
      <c r="A52" t="s">
        <v>478</v>
      </c>
      <c r="C52" s="376">
        <f>'Block Builder'!F14</f>
        <v>0</v>
      </c>
    </row>
    <row r="53" spans="1:3" x14ac:dyDescent="0.2">
      <c r="A53" t="s">
        <v>479</v>
      </c>
      <c r="C53" s="376">
        <f>'Block Builder'!G14</f>
        <v>0</v>
      </c>
    </row>
    <row r="54" spans="1:3" x14ac:dyDescent="0.2">
      <c r="A54" t="s">
        <v>480</v>
      </c>
      <c r="C54" s="376">
        <f>'Block Builder'!H14</f>
        <v>0</v>
      </c>
    </row>
    <row r="55" spans="1:3" x14ac:dyDescent="0.2">
      <c r="A55" t="s">
        <v>481</v>
      </c>
      <c r="C55" s="376">
        <f>'Block Builder'!C15</f>
        <v>1</v>
      </c>
    </row>
    <row r="56" spans="1:3" x14ac:dyDescent="0.2">
      <c r="A56" t="s">
        <v>482</v>
      </c>
      <c r="C56" s="376">
        <f>'Block Builder'!D15</f>
        <v>0</v>
      </c>
    </row>
    <row r="57" spans="1:3" x14ac:dyDescent="0.2">
      <c r="A57" t="s">
        <v>483</v>
      </c>
      <c r="C57" s="376">
        <f>'Block Builder'!E15</f>
        <v>0</v>
      </c>
    </row>
    <row r="58" spans="1:3" x14ac:dyDescent="0.2">
      <c r="A58" t="s">
        <v>484</v>
      </c>
      <c r="C58" s="376">
        <f>'Block Builder'!F15</f>
        <v>0</v>
      </c>
    </row>
    <row r="59" spans="1:3" x14ac:dyDescent="0.2">
      <c r="A59" t="s">
        <v>485</v>
      </c>
      <c r="C59" s="376">
        <f>'Block Builder'!G15</f>
        <v>0</v>
      </c>
    </row>
    <row r="60" spans="1:3" x14ac:dyDescent="0.2">
      <c r="A60" t="s">
        <v>486</v>
      </c>
      <c r="C60" s="376">
        <f>'Block Builder'!H15</f>
        <v>0</v>
      </c>
    </row>
    <row r="61" spans="1:3" x14ac:dyDescent="0.2">
      <c r="A61" t="s">
        <v>487</v>
      </c>
      <c r="C61" s="376">
        <f>'Block Builder'!C17</f>
        <v>0</v>
      </c>
    </row>
    <row r="62" spans="1:3" x14ac:dyDescent="0.2">
      <c r="A62" t="s">
        <v>488</v>
      </c>
      <c r="C62" s="376">
        <f>'Block Builder'!D17</f>
        <v>0</v>
      </c>
    </row>
    <row r="63" spans="1:3" x14ac:dyDescent="0.2">
      <c r="A63" t="s">
        <v>489</v>
      </c>
      <c r="C63" s="376">
        <f>'Block Builder'!E17</f>
        <v>0</v>
      </c>
    </row>
    <row r="64" spans="1:3" x14ac:dyDescent="0.2">
      <c r="A64" t="s">
        <v>490</v>
      </c>
      <c r="C64" s="376">
        <f>'Block Builder'!F17</f>
        <v>0</v>
      </c>
    </row>
    <row r="65" spans="1:3" x14ac:dyDescent="0.2">
      <c r="A65" t="s">
        <v>491</v>
      </c>
      <c r="C65" s="376">
        <f>'Block Builder'!G17</f>
        <v>0</v>
      </c>
    </row>
    <row r="66" spans="1:3" x14ac:dyDescent="0.2">
      <c r="A66" t="s">
        <v>492</v>
      </c>
      <c r="C66" s="376">
        <f>'Block Builder'!H17</f>
        <v>0</v>
      </c>
    </row>
    <row r="67" spans="1:3" x14ac:dyDescent="0.2">
      <c r="A67" t="s">
        <v>493</v>
      </c>
      <c r="C67" s="376">
        <f>'Block Builder'!C18</f>
        <v>2</v>
      </c>
    </row>
    <row r="68" spans="1:3" x14ac:dyDescent="0.2">
      <c r="A68" t="s">
        <v>494</v>
      </c>
      <c r="C68" s="376">
        <f>'Block Builder'!D18</f>
        <v>2</v>
      </c>
    </row>
    <row r="69" spans="1:3" x14ac:dyDescent="0.2">
      <c r="A69" t="s">
        <v>495</v>
      </c>
      <c r="C69" s="376">
        <f>'Block Builder'!E18</f>
        <v>0</v>
      </c>
    </row>
    <row r="70" spans="1:3" x14ac:dyDescent="0.2">
      <c r="A70" t="s">
        <v>496</v>
      </c>
      <c r="C70" s="376">
        <f>'Block Builder'!F18</f>
        <v>0</v>
      </c>
    </row>
    <row r="71" spans="1:3" x14ac:dyDescent="0.2">
      <c r="A71" t="s">
        <v>497</v>
      </c>
      <c r="C71" s="376">
        <f>'Block Builder'!G18</f>
        <v>0</v>
      </c>
    </row>
    <row r="72" spans="1:3" x14ac:dyDescent="0.2">
      <c r="A72" t="s">
        <v>498</v>
      </c>
      <c r="C72" s="376">
        <f>'Block Builder'!H18</f>
        <v>0</v>
      </c>
    </row>
    <row r="73" spans="1:3" x14ac:dyDescent="0.2">
      <c r="A73" t="s">
        <v>499</v>
      </c>
      <c r="C73" s="376">
        <f>'Block Builder'!C19</f>
        <v>0</v>
      </c>
    </row>
    <row r="74" spans="1:3" x14ac:dyDescent="0.2">
      <c r="A74" t="s">
        <v>500</v>
      </c>
      <c r="C74" s="376">
        <f>'Block Builder'!D19</f>
        <v>0</v>
      </c>
    </row>
    <row r="75" spans="1:3" x14ac:dyDescent="0.2">
      <c r="A75" t="s">
        <v>501</v>
      </c>
      <c r="C75" s="376">
        <f>'Block Builder'!E19</f>
        <v>0</v>
      </c>
    </row>
    <row r="76" spans="1:3" x14ac:dyDescent="0.2">
      <c r="A76" t="s">
        <v>502</v>
      </c>
      <c r="C76" s="376">
        <f>'Block Builder'!F19</f>
        <v>0</v>
      </c>
    </row>
    <row r="77" spans="1:3" x14ac:dyDescent="0.2">
      <c r="A77" t="s">
        <v>503</v>
      </c>
      <c r="C77" s="376">
        <f>'Block Builder'!G19</f>
        <v>1</v>
      </c>
    </row>
    <row r="78" spans="1:3" x14ac:dyDescent="0.2">
      <c r="A78" t="s">
        <v>504</v>
      </c>
      <c r="C78" s="376">
        <f>'Block Builder'!C20</f>
        <v>0</v>
      </c>
    </row>
    <row r="79" spans="1:3" x14ac:dyDescent="0.2">
      <c r="A79" t="s">
        <v>505</v>
      </c>
      <c r="C79" s="376">
        <f>'Block Builder'!D20</f>
        <v>0</v>
      </c>
    </row>
    <row r="80" spans="1:3" x14ac:dyDescent="0.2">
      <c r="A80" t="s">
        <v>506</v>
      </c>
      <c r="C80" s="376" t="str">
        <f>'Block Builder'!D22</f>
        <v>Demolish</v>
      </c>
    </row>
    <row r="81" spans="1:3" x14ac:dyDescent="0.2">
      <c r="A81" t="s">
        <v>507</v>
      </c>
      <c r="C81" s="376" t="str">
        <f>'Block Builder'!F24</f>
        <v>Rehab</v>
      </c>
    </row>
    <row r="82" spans="1:3" x14ac:dyDescent="0.2">
      <c r="A82" t="s">
        <v>508</v>
      </c>
      <c r="C82" s="376">
        <f>'Block Builder'!C26</f>
        <v>1</v>
      </c>
    </row>
    <row r="83" spans="1:3" x14ac:dyDescent="0.2">
      <c r="A83" t="s">
        <v>509</v>
      </c>
      <c r="C83" s="376">
        <f>'Block Builder'!D26</f>
        <v>0</v>
      </c>
    </row>
    <row r="84" spans="1:3" x14ac:dyDescent="0.2">
      <c r="A84" t="s">
        <v>510</v>
      </c>
      <c r="C84" s="376">
        <f>'Block Builder'!E26</f>
        <v>0</v>
      </c>
    </row>
    <row r="85" spans="1:3" x14ac:dyDescent="0.2">
      <c r="A85" t="s">
        <v>511</v>
      </c>
      <c r="C85" s="376">
        <f>'Block Builder'!F26</f>
        <v>0</v>
      </c>
    </row>
    <row r="86" spans="1:3" x14ac:dyDescent="0.2">
      <c r="A86" t="s">
        <v>512</v>
      </c>
      <c r="C86" s="376">
        <f>'Block Builder'!G26</f>
        <v>0</v>
      </c>
    </row>
    <row r="87" spans="1:3" x14ac:dyDescent="0.2">
      <c r="A87" t="s">
        <v>513</v>
      </c>
      <c r="C87" s="376">
        <f>'Block Builder'!H26</f>
        <v>0</v>
      </c>
    </row>
    <row r="88" spans="1:3" x14ac:dyDescent="0.2">
      <c r="A88" t="s">
        <v>514</v>
      </c>
      <c r="C88" s="376">
        <f>'Block Builder'!C28</f>
        <v>0</v>
      </c>
    </row>
    <row r="89" spans="1:3" x14ac:dyDescent="0.2">
      <c r="A89" t="s">
        <v>515</v>
      </c>
      <c r="C89" s="376">
        <f>'Block Builder'!D28</f>
        <v>2</v>
      </c>
    </row>
    <row r="90" spans="1:3" x14ac:dyDescent="0.2">
      <c r="A90" t="s">
        <v>516</v>
      </c>
      <c r="C90" s="376">
        <f>'Block Builder'!E28</f>
        <v>0</v>
      </c>
    </row>
    <row r="91" spans="1:3" x14ac:dyDescent="0.2">
      <c r="A91" t="s">
        <v>517</v>
      </c>
      <c r="C91" s="376">
        <f>'Block Builder'!F28</f>
        <v>0</v>
      </c>
    </row>
    <row r="92" spans="1:3" x14ac:dyDescent="0.2">
      <c r="A92" t="s">
        <v>518</v>
      </c>
      <c r="C92" s="376">
        <f>'Block Builder'!G28</f>
        <v>0</v>
      </c>
    </row>
    <row r="93" spans="1:3" x14ac:dyDescent="0.2">
      <c r="A93" t="s">
        <v>519</v>
      </c>
      <c r="C93" s="376">
        <f>'Block Builder'!H28</f>
        <v>2</v>
      </c>
    </row>
    <row r="94" spans="1:3" x14ac:dyDescent="0.2">
      <c r="A94" t="s">
        <v>520</v>
      </c>
      <c r="C94" s="376">
        <f>'Block Builder'!C29</f>
        <v>0</v>
      </c>
    </row>
    <row r="95" spans="1:3" x14ac:dyDescent="0.2">
      <c r="A95" t="s">
        <v>521</v>
      </c>
      <c r="C95" s="376">
        <f>'Block Builder'!D29</f>
        <v>0</v>
      </c>
    </row>
    <row r="96" spans="1:3" x14ac:dyDescent="0.2">
      <c r="A96" t="s">
        <v>522</v>
      </c>
      <c r="C96" s="376">
        <f>'Block Builder'!E29</f>
        <v>0</v>
      </c>
    </row>
    <row r="97" spans="1:3" x14ac:dyDescent="0.2">
      <c r="A97" t="s">
        <v>523</v>
      </c>
      <c r="C97" s="376">
        <f>'Block Builder'!F29</f>
        <v>0</v>
      </c>
    </row>
    <row r="98" spans="1:3" x14ac:dyDescent="0.2">
      <c r="A98" t="s">
        <v>524</v>
      </c>
      <c r="C98" s="376">
        <f>'Block Builder'!G29</f>
        <v>1</v>
      </c>
    </row>
    <row r="99" spans="1:3" x14ac:dyDescent="0.2">
      <c r="A99" t="s">
        <v>525</v>
      </c>
      <c r="C99" s="376">
        <f>'Block Builder'!H29</f>
        <v>0</v>
      </c>
    </row>
    <row r="100" spans="1:3" x14ac:dyDescent="0.2">
      <c r="A100" t="s">
        <v>526</v>
      </c>
      <c r="C100" s="376">
        <f>'Block Builder'!C30</f>
        <v>0</v>
      </c>
    </row>
    <row r="101" spans="1:3" x14ac:dyDescent="0.2">
      <c r="A101" t="s">
        <v>527</v>
      </c>
      <c r="C101" s="376">
        <f>'Block Builder'!D30</f>
        <v>0</v>
      </c>
    </row>
    <row r="102" spans="1:3" x14ac:dyDescent="0.2">
      <c r="A102" t="s">
        <v>528</v>
      </c>
      <c r="C102" s="376">
        <f>'Block Builder'!E30</f>
        <v>0</v>
      </c>
    </row>
    <row r="103" spans="1:3" x14ac:dyDescent="0.2">
      <c r="A103" t="s">
        <v>529</v>
      </c>
      <c r="C103" s="376">
        <f>'Block Builder'!F30</f>
        <v>0</v>
      </c>
    </row>
    <row r="104" spans="1:3" x14ac:dyDescent="0.2">
      <c r="A104" t="s">
        <v>530</v>
      </c>
      <c r="C104" s="376">
        <f>'Block Builder'!G30</f>
        <v>0</v>
      </c>
    </row>
    <row r="105" spans="1:3" x14ac:dyDescent="0.2">
      <c r="A105" t="s">
        <v>531</v>
      </c>
      <c r="C105" s="376">
        <f>'Block Builder'!H30</f>
        <v>0</v>
      </c>
    </row>
    <row r="106" spans="1:3" x14ac:dyDescent="0.2">
      <c r="A106" t="s">
        <v>532</v>
      </c>
      <c r="C106" s="519">
        <f>'Use Allocation'!E5</f>
        <v>0.05</v>
      </c>
    </row>
    <row r="107" spans="1:3" x14ac:dyDescent="0.2">
      <c r="A107" t="s">
        <v>533</v>
      </c>
      <c r="C107" s="519">
        <f>'Use Allocation'!E6</f>
        <v>0.2</v>
      </c>
    </row>
    <row r="108" spans="1:3" x14ac:dyDescent="0.2">
      <c r="A108" t="s">
        <v>534</v>
      </c>
      <c r="C108" s="519">
        <f>'Use Allocation'!E7</f>
        <v>0.05</v>
      </c>
    </row>
    <row r="109" spans="1:3" x14ac:dyDescent="0.2">
      <c r="A109" t="s">
        <v>535</v>
      </c>
      <c r="C109" s="519">
        <f>'Use Allocation'!J6</f>
        <v>0.2</v>
      </c>
    </row>
    <row r="110" spans="1:3" x14ac:dyDescent="0.2">
      <c r="A110" t="s">
        <v>536</v>
      </c>
      <c r="C110" s="376" t="str">
        <f>'Use Allocation'!E11</f>
        <v>Mixed Use</v>
      </c>
    </row>
    <row r="111" spans="1:3" x14ac:dyDescent="0.2">
      <c r="A111" t="s">
        <v>537</v>
      </c>
      <c r="C111" s="520">
        <f>'Use Allocation'!G13</f>
        <v>0</v>
      </c>
    </row>
    <row r="112" spans="1:3" x14ac:dyDescent="0.2">
      <c r="A112" t="s">
        <v>538</v>
      </c>
      <c r="C112" s="520">
        <f>'Use Allocation'!I14</f>
        <v>0</v>
      </c>
    </row>
    <row r="113" spans="1:3" x14ac:dyDescent="0.2">
      <c r="A113" t="s">
        <v>539</v>
      </c>
      <c r="C113" s="520">
        <f>'Use Allocation'!I15</f>
        <v>0</v>
      </c>
    </row>
    <row r="114" spans="1:3" x14ac:dyDescent="0.2">
      <c r="A114" t="s">
        <v>540</v>
      </c>
      <c r="C114" s="520">
        <f>'Use Allocation'!I16</f>
        <v>0</v>
      </c>
    </row>
    <row r="115" spans="1:3" x14ac:dyDescent="0.2">
      <c r="A115" t="s">
        <v>541</v>
      </c>
      <c r="C115" s="520">
        <f>'Use Allocation'!G23</f>
        <v>5000</v>
      </c>
    </row>
    <row r="116" spans="1:3" x14ac:dyDescent="0.2">
      <c r="A116" t="s">
        <v>542</v>
      </c>
      <c r="C116" s="520">
        <f>'Use Allocation'!I24</f>
        <v>10</v>
      </c>
    </row>
    <row r="117" spans="1:3" x14ac:dyDescent="0.2">
      <c r="A117" t="s">
        <v>543</v>
      </c>
      <c r="C117" s="520">
        <f>'Use Allocation'!I25</f>
        <v>10</v>
      </c>
    </row>
    <row r="118" spans="1:3" x14ac:dyDescent="0.2">
      <c r="A118" t="s">
        <v>544</v>
      </c>
      <c r="C118" s="520">
        <f>'Use Allocation'!I26</f>
        <v>10</v>
      </c>
    </row>
    <row r="119" spans="1:3" x14ac:dyDescent="0.2">
      <c r="A119" t="s">
        <v>545</v>
      </c>
      <c r="C119" s="520">
        <f>'Use Allocation'!E27</f>
        <v>0</v>
      </c>
    </row>
    <row r="120" spans="1:3" x14ac:dyDescent="0.2">
      <c r="A120" t="s">
        <v>546</v>
      </c>
      <c r="C120" s="520">
        <f>'Use Allocation'!E28</f>
        <v>0</v>
      </c>
    </row>
    <row r="121" spans="1:3" x14ac:dyDescent="0.2">
      <c r="A121" t="s">
        <v>547</v>
      </c>
      <c r="C121" s="520">
        <f>'Use Allocation'!E29</f>
        <v>0</v>
      </c>
    </row>
    <row r="122" spans="1:3" x14ac:dyDescent="0.2">
      <c r="A122" t="s">
        <v>548</v>
      </c>
      <c r="C122" s="520" t="e">
        <f>'Use Allocation'!#REF!</f>
        <v>#REF!</v>
      </c>
    </row>
    <row r="123" spans="1:3" x14ac:dyDescent="0.2">
      <c r="A123" t="s">
        <v>549</v>
      </c>
      <c r="C123" s="520">
        <f>'Use Allocation'!E30</f>
        <v>3500</v>
      </c>
    </row>
    <row r="124" spans="1:3" x14ac:dyDescent="0.2">
      <c r="A124" t="s">
        <v>550</v>
      </c>
      <c r="C124" s="520">
        <f>'Use Allocation'!E31</f>
        <v>0</v>
      </c>
    </row>
    <row r="125" spans="1:3" x14ac:dyDescent="0.2">
      <c r="A125" t="s">
        <v>551</v>
      </c>
      <c r="C125" s="520">
        <f>'Use Allocation'!E32</f>
        <v>0</v>
      </c>
    </row>
    <row r="126" spans="1:3" x14ac:dyDescent="0.2">
      <c r="A126" t="s">
        <v>552</v>
      </c>
      <c r="C126" s="520">
        <f>'Use Allocation'!E33</f>
        <v>0</v>
      </c>
    </row>
    <row r="127" spans="1:3" x14ac:dyDescent="0.2">
      <c r="A127" t="s">
        <v>553</v>
      </c>
      <c r="C127" s="520">
        <f>'Use Allocation'!E34</f>
        <v>0</v>
      </c>
    </row>
    <row r="128" spans="1:3" x14ac:dyDescent="0.2">
      <c r="A128" t="s">
        <v>554</v>
      </c>
      <c r="C128" s="520">
        <f>'Use Allocation'!E35</f>
        <v>0</v>
      </c>
    </row>
    <row r="129" spans="1:3" x14ac:dyDescent="0.2">
      <c r="A129" t="s">
        <v>555</v>
      </c>
      <c r="C129" s="520">
        <f>'Use Allocation'!E36</f>
        <v>0</v>
      </c>
    </row>
    <row r="130" spans="1:3" x14ac:dyDescent="0.2">
      <c r="A130" t="s">
        <v>556</v>
      </c>
      <c r="C130" s="520">
        <f>'Use Allocation'!E37</f>
        <v>0</v>
      </c>
    </row>
    <row r="131" spans="1:3" x14ac:dyDescent="0.2">
      <c r="A131" t="s">
        <v>557</v>
      </c>
      <c r="C131" s="520">
        <f>'Use Allocation'!F38</f>
        <v>0</v>
      </c>
    </row>
    <row r="132" spans="1:3" x14ac:dyDescent="0.2">
      <c r="A132" t="s">
        <v>558</v>
      </c>
      <c r="C132" s="520">
        <f>'Use Allocation'!F39</f>
        <v>0</v>
      </c>
    </row>
    <row r="133" spans="1:3" x14ac:dyDescent="0.2">
      <c r="A133" t="s">
        <v>559</v>
      </c>
      <c r="C133" s="520">
        <f>'Use Allocation'!G46</f>
        <v>5000</v>
      </c>
    </row>
    <row r="134" spans="1:3" x14ac:dyDescent="0.2">
      <c r="A134" t="s">
        <v>560</v>
      </c>
      <c r="C134" s="520">
        <f>'Use Allocation'!I47</f>
        <v>20</v>
      </c>
    </row>
    <row r="135" spans="1:3" x14ac:dyDescent="0.2">
      <c r="A135" t="s">
        <v>561</v>
      </c>
      <c r="C135" s="520">
        <f>'Use Allocation'!I48</f>
        <v>20</v>
      </c>
    </row>
    <row r="136" spans="1:3" x14ac:dyDescent="0.2">
      <c r="A136" t="s">
        <v>562</v>
      </c>
      <c r="C136" s="520">
        <f>'Use Allocation'!F49</f>
        <v>10000</v>
      </c>
    </row>
    <row r="137" spans="1:3" x14ac:dyDescent="0.2">
      <c r="A137" t="s">
        <v>563</v>
      </c>
      <c r="C137" s="520">
        <f>'Use Allocation'!F50</f>
        <v>0</v>
      </c>
    </row>
    <row r="138" spans="1:3" x14ac:dyDescent="0.2"/>
    <row r="139" spans="1:3" x14ac:dyDescent="0.2"/>
    <row r="140" spans="1:3" x14ac:dyDescent="0.2"/>
  </sheetData>
  <sheetProtection algorithmName="SHA-512" hashValue="FmzlPQ2myhMSpdzoabNfrJzHwGpiYcwCCAiH9Ctui+C+dUQ1C1/Nv+7gYCcP4dypk9+xp/0SG/PYBGzptGqXNg==" saltValue="SIGpUOctPG6zqRDYeStbwA==" spinCount="100000" sheet="1" objects="1" scenarios="1"/>
  <phoneticPr fontId="4" type="noConversion"/>
  <pageMargins left="0.7" right="0.7" top="0.75" bottom="0.75" header="0.3" footer="0.3"/>
  <pageSetup paperSize="20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08C5-692C-40F1-AD5E-DF995982B6E7}">
  <sheetPr>
    <tabColor rgb="FFFFFF00"/>
  </sheetPr>
  <dimension ref="A1"/>
  <sheetViews>
    <sheetView workbookViewId="0">
      <selection activeCell="V30" sqref="V30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0995C-005E-49EB-88D6-E708B2CCD71E}">
  <sheetPr>
    <tabColor rgb="FFFFFF00"/>
  </sheetPr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E4407-5891-4FE8-AA6B-CC9AFE0C9287}">
  <sheetPr>
    <tabColor rgb="FFFFFF00"/>
  </sheetPr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19EF-CF58-4459-ABDD-1B6BF3D2E626}">
  <sheetPr>
    <tabColor rgb="FFFFFF00"/>
  </sheetPr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91C3-736B-4294-910A-ACA94A0AD48C}">
  <sheetPr>
    <tabColor rgb="FFFFFF00"/>
  </sheetPr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0E81-3573-475F-BBAD-327108F5D6E0}">
  <sheetPr>
    <tabColor rgb="FFFFFF00"/>
  </sheetPr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6275-62F5-4176-B812-04B6CA782496}">
  <sheetPr>
    <tabColor rgb="FFFFFF00"/>
  </sheetPr>
  <dimension ref="A1"/>
  <sheetViews>
    <sheetView showGridLines="0" topLeftCell="A13" workbookViewId="0">
      <selection activeCell="H53" sqref="H53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D6598-0206-448B-AD63-DBD736579452}">
  <sheetPr>
    <tabColor rgb="FFFFFF00"/>
  </sheetPr>
  <dimension ref="B4:N45"/>
  <sheetViews>
    <sheetView showGridLines="0" zoomScale="93" zoomScaleNormal="93" workbookViewId="0">
      <selection activeCell="I54" sqref="I54"/>
    </sheetView>
  </sheetViews>
  <sheetFormatPr baseColWidth="10" defaultColWidth="8.83203125" defaultRowHeight="15" x14ac:dyDescent="0.2"/>
  <cols>
    <col min="2" max="2" width="32" customWidth="1"/>
    <col min="3" max="3" width="32" bestFit="1" customWidth="1"/>
    <col min="4" max="4" width="20.1640625" bestFit="1" customWidth="1"/>
    <col min="5" max="5" width="21.33203125" bestFit="1" customWidth="1"/>
    <col min="6" max="6" width="38.6640625" customWidth="1"/>
    <col min="7" max="7" width="20.5" bestFit="1" customWidth="1"/>
    <col min="8" max="8" width="5.1640625" customWidth="1"/>
    <col min="9" max="9" width="19.6640625" bestFit="1" customWidth="1"/>
    <col min="10" max="14" width="20.1640625" bestFit="1" customWidth="1"/>
    <col min="15" max="15" width="8.5" customWidth="1"/>
    <col min="16" max="19" width="30" bestFit="1" customWidth="1"/>
  </cols>
  <sheetData>
    <row r="4" spans="2:14" ht="16" thickBot="1" x14ac:dyDescent="0.25"/>
    <row r="5" spans="2:14" x14ac:dyDescent="0.2">
      <c r="B5" s="721" t="s">
        <v>580</v>
      </c>
      <c r="C5" s="722" t="s">
        <v>2</v>
      </c>
      <c r="D5" s="722" t="s">
        <v>427</v>
      </c>
      <c r="E5" s="740" t="s">
        <v>417</v>
      </c>
      <c r="F5" s="723" t="s">
        <v>428</v>
      </c>
      <c r="G5" s="671"/>
      <c r="I5" s="737" t="s">
        <v>583</v>
      </c>
      <c r="J5" s="738"/>
      <c r="K5" s="738"/>
      <c r="L5" s="738"/>
      <c r="M5" s="738"/>
      <c r="N5" s="739"/>
    </row>
    <row r="6" spans="2:14" x14ac:dyDescent="0.2">
      <c r="B6" s="693" t="s">
        <v>399</v>
      </c>
      <c r="C6" s="693" t="s">
        <v>32</v>
      </c>
      <c r="D6" s="692">
        <f>_xlfn.XLOOKUP(B6,'Building Summary'!$A:$A,'Building Summary'!$AI:$AI)</f>
        <v>15975439</v>
      </c>
      <c r="E6">
        <f>_xlfn.XLOOKUP(B6,'Building Summary'!$A:$A,'Building Summary'!$P:$P)</f>
        <v>20000</v>
      </c>
      <c r="F6" s="741">
        <f>D6/E6</f>
        <v>798.77194999999995</v>
      </c>
      <c r="G6" s="732"/>
      <c r="I6" s="708" t="s">
        <v>2</v>
      </c>
      <c r="J6" s="698" t="s">
        <v>190</v>
      </c>
      <c r="K6" s="698" t="s">
        <v>194</v>
      </c>
      <c r="L6" s="698" t="s">
        <v>195</v>
      </c>
      <c r="M6" s="698" t="s">
        <v>196</v>
      </c>
      <c r="N6" s="709" t="s">
        <v>197</v>
      </c>
    </row>
    <row r="7" spans="2:14" x14ac:dyDescent="0.2">
      <c r="B7" s="693" t="s">
        <v>183</v>
      </c>
      <c r="C7" s="693" t="s">
        <v>22</v>
      </c>
      <c r="D7" s="692">
        <f>_xlfn.XLOOKUP(B7,'Building Summary'!$A:$A,'Building Summary'!$AI:$AI)</f>
        <v>11683887</v>
      </c>
      <c r="E7">
        <f>_xlfn.XLOOKUP(B7,'Building Summary'!$A:$A,'Building Summary'!$P:$P)</f>
        <v>20000</v>
      </c>
      <c r="F7" s="741">
        <f t="shared" ref="F7:F18" si="0">D7/E7</f>
        <v>584.19434999999999</v>
      </c>
      <c r="G7" s="732"/>
      <c r="I7" s="710" t="s">
        <v>243</v>
      </c>
      <c r="J7" s="694">
        <v>53</v>
      </c>
      <c r="K7" s="694">
        <v>160</v>
      </c>
      <c r="L7" s="694">
        <v>400</v>
      </c>
      <c r="M7" s="694">
        <v>80</v>
      </c>
      <c r="N7" s="715">
        <v>693</v>
      </c>
    </row>
    <row r="8" spans="2:14" x14ac:dyDescent="0.2">
      <c r="B8" s="693" t="s">
        <v>223</v>
      </c>
      <c r="C8" s="693" t="s">
        <v>20</v>
      </c>
      <c r="D8" s="692">
        <f>_xlfn.XLOOKUP(B8,'Building Summary'!$A:$A,'Building Summary'!$AI:$AI)</f>
        <v>11102960</v>
      </c>
      <c r="E8">
        <f>_xlfn.XLOOKUP(B8,'Building Summary'!$A:$A,'Building Summary'!$P:$P)</f>
        <v>20000</v>
      </c>
      <c r="F8" s="741">
        <f t="shared" si="0"/>
        <v>555.14800000000002</v>
      </c>
      <c r="G8" s="732"/>
      <c r="I8" s="710" t="s">
        <v>242</v>
      </c>
      <c r="J8" s="695">
        <v>23</v>
      </c>
      <c r="K8" s="695">
        <v>70</v>
      </c>
      <c r="L8" s="695">
        <v>175</v>
      </c>
      <c r="M8" s="695">
        <v>35</v>
      </c>
      <c r="N8" s="716">
        <v>303</v>
      </c>
    </row>
    <row r="9" spans="2:14" x14ac:dyDescent="0.2">
      <c r="B9" s="693" t="s">
        <v>398</v>
      </c>
      <c r="C9" s="693" t="s">
        <v>30</v>
      </c>
      <c r="D9" s="692">
        <f>_xlfn.XLOOKUP(B9,'Building Summary'!$A:$A,'Building Summary'!$AI:$AI)</f>
        <v>17205000</v>
      </c>
      <c r="E9">
        <f>_xlfn.XLOOKUP(B9,'Building Summary'!$A:$A,'Building Summary'!$P:$P)</f>
        <v>40000</v>
      </c>
      <c r="F9" s="741">
        <f t="shared" si="0"/>
        <v>430.125</v>
      </c>
      <c r="G9" s="732"/>
      <c r="I9" s="710" t="s">
        <v>51</v>
      </c>
      <c r="J9" s="695">
        <v>3</v>
      </c>
      <c r="K9" s="695">
        <v>10</v>
      </c>
      <c r="L9" s="695">
        <v>25</v>
      </c>
      <c r="M9" s="695">
        <v>5</v>
      </c>
      <c r="N9" s="716">
        <v>43</v>
      </c>
    </row>
    <row r="10" spans="2:14" x14ac:dyDescent="0.2">
      <c r="B10" s="693" t="s">
        <v>181</v>
      </c>
      <c r="C10" s="693" t="s">
        <v>18</v>
      </c>
      <c r="D10" s="692">
        <f>_xlfn.XLOOKUP(B10,'Building Summary'!$A:$A,'Building Summary'!$AI:$AI)</f>
        <v>4743909</v>
      </c>
      <c r="E10">
        <f>_xlfn.XLOOKUP(B10,'Building Summary'!$A:$A,'Building Summary'!$P:$P)</f>
        <v>20000</v>
      </c>
      <c r="F10" s="741">
        <f t="shared" si="0"/>
        <v>237.19544999999999</v>
      </c>
      <c r="G10" s="732"/>
      <c r="I10" s="710" t="s">
        <v>46</v>
      </c>
      <c r="J10" s="695">
        <v>1</v>
      </c>
      <c r="K10" s="695">
        <v>3</v>
      </c>
      <c r="L10" s="695">
        <v>8</v>
      </c>
      <c r="M10" s="695">
        <v>2</v>
      </c>
      <c r="N10" s="716">
        <v>14</v>
      </c>
    </row>
    <row r="11" spans="2:14" ht="16" thickBot="1" x14ac:dyDescent="0.25">
      <c r="B11" s="693" t="s">
        <v>16</v>
      </c>
      <c r="C11" s="693" t="s">
        <v>16</v>
      </c>
      <c r="D11" s="692">
        <f>_xlfn.XLOOKUP(B11,'Building Summary'!$A:$A,'Building Summary'!$AI:$AI)</f>
        <v>4032000</v>
      </c>
      <c r="E11">
        <f>_xlfn.XLOOKUP(B11,'Building Summary'!$A:$A,'Building Summary'!$P:$P)</f>
        <v>20000</v>
      </c>
      <c r="F11" s="741">
        <f t="shared" si="0"/>
        <v>201.6</v>
      </c>
      <c r="G11" s="732"/>
      <c r="I11" s="711" t="s">
        <v>49</v>
      </c>
      <c r="J11" s="712">
        <v>0</v>
      </c>
      <c r="K11" s="712">
        <v>1</v>
      </c>
      <c r="L11" s="712">
        <v>3</v>
      </c>
      <c r="M11" s="712">
        <v>1</v>
      </c>
      <c r="N11" s="717">
        <v>5</v>
      </c>
    </row>
    <row r="12" spans="2:14" ht="16" thickBot="1" x14ac:dyDescent="0.25">
      <c r="B12" s="693" t="s">
        <v>396</v>
      </c>
      <c r="C12" s="693" t="s">
        <v>26</v>
      </c>
      <c r="D12" s="692">
        <f>_xlfn.XLOOKUP(B12,'Building Summary'!$A:$A,'Building Summary'!$AI:$AI)</f>
        <v>4289063</v>
      </c>
      <c r="E12">
        <f>_xlfn.XLOOKUP(B12,'Building Summary'!$A:$A,'Building Summary'!$P:$P)</f>
        <v>30000</v>
      </c>
      <c r="F12" s="741">
        <f t="shared" si="0"/>
        <v>142.96876666666665</v>
      </c>
      <c r="G12" s="732"/>
    </row>
    <row r="13" spans="2:14" x14ac:dyDescent="0.2">
      <c r="B13" s="693" t="s">
        <v>397</v>
      </c>
      <c r="C13" s="693" t="s">
        <v>28</v>
      </c>
      <c r="D13" s="692">
        <f>_xlfn.XLOOKUP(B13,'Building Summary'!$A:$A,'Building Summary'!$AI:$AI)</f>
        <v>5718750</v>
      </c>
      <c r="E13">
        <f>_xlfn.XLOOKUP(B13,'Building Summary'!$A:$A,'Building Summary'!$P:$P)</f>
        <v>40000</v>
      </c>
      <c r="F13" s="741">
        <f t="shared" si="0"/>
        <v>142.96875</v>
      </c>
      <c r="G13" s="732"/>
      <c r="I13" s="737" t="s">
        <v>584</v>
      </c>
      <c r="J13" s="738"/>
      <c r="K13" s="738"/>
      <c r="L13" s="738"/>
      <c r="M13" s="738"/>
      <c r="N13" s="739"/>
    </row>
    <row r="14" spans="2:14" x14ac:dyDescent="0.2">
      <c r="B14" s="693" t="s">
        <v>14</v>
      </c>
      <c r="C14" s="693" t="s">
        <v>14</v>
      </c>
      <c r="D14" s="692">
        <f>_xlfn.XLOOKUP(B14,'Building Summary'!$A:$A,'Building Summary'!$AI:$AI)</f>
        <v>978000</v>
      </c>
      <c r="E14">
        <f>_xlfn.XLOOKUP(B14,'Building Summary'!$A:$A,'Building Summary'!$P:$P)</f>
        <v>10000</v>
      </c>
      <c r="F14" s="741">
        <f t="shared" si="0"/>
        <v>97.8</v>
      </c>
      <c r="G14" s="732"/>
      <c r="I14" s="708" t="s">
        <v>2</v>
      </c>
      <c r="J14" s="698" t="s">
        <v>190</v>
      </c>
      <c r="K14" s="698" t="s">
        <v>194</v>
      </c>
      <c r="L14" s="698" t="s">
        <v>195</v>
      </c>
      <c r="M14" s="698" t="s">
        <v>196</v>
      </c>
      <c r="N14" s="709" t="s">
        <v>197</v>
      </c>
    </row>
    <row r="15" spans="2:14" x14ac:dyDescent="0.2">
      <c r="B15" s="693" t="s">
        <v>39</v>
      </c>
      <c r="C15" s="693" t="s">
        <v>39</v>
      </c>
      <c r="D15" s="692">
        <f>_xlfn.XLOOKUP(B15,'Building Summary'!$A:$A,'Building Summary'!$AI:$AI)</f>
        <v>4124751</v>
      </c>
      <c r="E15">
        <f>_xlfn.XLOOKUP(B15,'Building Summary'!$A:$A,'Building Summary'!$P:$P)</f>
        <v>50000</v>
      </c>
      <c r="F15" s="741">
        <f t="shared" si="0"/>
        <v>82.495019999999997</v>
      </c>
      <c r="G15" s="732"/>
      <c r="I15" s="713" t="s">
        <v>41</v>
      </c>
      <c r="J15" s="694">
        <v>140</v>
      </c>
      <c r="K15" s="694">
        <v>240</v>
      </c>
      <c r="L15" s="694">
        <v>18</v>
      </c>
      <c r="M15" s="694">
        <v>2</v>
      </c>
      <c r="N15" s="715">
        <v>400</v>
      </c>
    </row>
    <row r="16" spans="2:14" x14ac:dyDescent="0.2">
      <c r="B16" s="693" t="s">
        <v>41</v>
      </c>
      <c r="C16" s="693" t="s">
        <v>41</v>
      </c>
      <c r="D16" s="692">
        <f>_xlfn.XLOOKUP(B16,'Building Summary'!$A:$A,'Building Summary'!$AI:$AI)</f>
        <v>7500000</v>
      </c>
      <c r="E16">
        <f>_xlfn.XLOOKUP(B16,'Building Summary'!$A:$A,'Building Summary'!$P:$P)</f>
        <v>100000</v>
      </c>
      <c r="F16" s="741">
        <f t="shared" si="0"/>
        <v>75</v>
      </c>
      <c r="G16" s="732"/>
      <c r="I16" s="710" t="s">
        <v>186</v>
      </c>
      <c r="J16" s="695">
        <v>70</v>
      </c>
      <c r="K16" s="695">
        <v>120</v>
      </c>
      <c r="L16" s="695">
        <v>9</v>
      </c>
      <c r="M16" s="695">
        <v>1</v>
      </c>
      <c r="N16" s="716">
        <v>200</v>
      </c>
    </row>
    <row r="17" spans="2:14" x14ac:dyDescent="0.2">
      <c r="B17" s="693" t="s">
        <v>35</v>
      </c>
      <c r="C17" s="693" t="s">
        <v>35</v>
      </c>
      <c r="D17" s="692">
        <f>_xlfn.XLOOKUP(B17,'Building Summary'!$A:$A,'Building Summary'!$AI:$AI)</f>
        <v>375000</v>
      </c>
      <c r="E17">
        <f>_xlfn.XLOOKUP(B17,'Building Summary'!$A:$A,'Building Summary'!$P:$P)</f>
        <v>10000</v>
      </c>
      <c r="F17" s="741">
        <f t="shared" si="0"/>
        <v>37.5</v>
      </c>
      <c r="G17" s="732"/>
      <c r="I17" s="710" t="s">
        <v>185</v>
      </c>
      <c r="J17" s="695">
        <v>24</v>
      </c>
      <c r="K17" s="695">
        <v>32</v>
      </c>
      <c r="L17" s="695">
        <v>12</v>
      </c>
      <c r="M17" s="695">
        <v>0</v>
      </c>
      <c r="N17" s="716">
        <v>68</v>
      </c>
    </row>
    <row r="18" spans="2:14" x14ac:dyDescent="0.2">
      <c r="B18" s="742" t="s">
        <v>37</v>
      </c>
      <c r="C18" s="742" t="s">
        <v>37</v>
      </c>
      <c r="D18" s="726">
        <f>_xlfn.XLOOKUP(B18,'Building Summary'!$A:$A,'Building Summary'!$AI:$AI)</f>
        <v>750000</v>
      </c>
      <c r="E18" s="71">
        <f>_xlfn.XLOOKUP(B18,'Building Summary'!$A:$A,'Building Summary'!$P:$P)</f>
        <v>20000</v>
      </c>
      <c r="F18" s="743">
        <f t="shared" si="0"/>
        <v>37.5</v>
      </c>
      <c r="G18" s="732"/>
      <c r="I18" s="710" t="s">
        <v>46</v>
      </c>
      <c r="J18" s="695">
        <v>12</v>
      </c>
      <c r="K18" s="695">
        <v>16</v>
      </c>
      <c r="L18" s="695">
        <v>6</v>
      </c>
      <c r="M18" s="695">
        <v>0</v>
      </c>
      <c r="N18" s="716">
        <v>34</v>
      </c>
    </row>
    <row r="19" spans="2:14" x14ac:dyDescent="0.2">
      <c r="G19" s="674"/>
      <c r="I19" s="710" t="s">
        <v>49</v>
      </c>
      <c r="J19" s="695">
        <v>12</v>
      </c>
      <c r="K19" s="695">
        <v>16</v>
      </c>
      <c r="L19" s="695">
        <v>6</v>
      </c>
      <c r="M19" s="695">
        <v>0</v>
      </c>
      <c r="N19" s="716">
        <v>34</v>
      </c>
    </row>
    <row r="20" spans="2:14" ht="16" thickBot="1" x14ac:dyDescent="0.25">
      <c r="G20" s="729"/>
      <c r="I20" s="711" t="s">
        <v>51</v>
      </c>
      <c r="J20" s="712">
        <v>12</v>
      </c>
      <c r="K20" s="712">
        <v>16</v>
      </c>
      <c r="L20" s="712">
        <v>6</v>
      </c>
      <c r="M20" s="712">
        <v>0</v>
      </c>
      <c r="N20" s="717">
        <v>34</v>
      </c>
    </row>
    <row r="21" spans="2:14" ht="16" thickBot="1" x14ac:dyDescent="0.25">
      <c r="G21" s="730"/>
    </row>
    <row r="22" spans="2:14" x14ac:dyDescent="0.2">
      <c r="G22" s="730"/>
      <c r="I22" s="737" t="s">
        <v>585</v>
      </c>
      <c r="J22" s="738"/>
      <c r="K22" s="738"/>
      <c r="L22" s="738"/>
      <c r="M22" s="738"/>
      <c r="N22" s="739"/>
    </row>
    <row r="23" spans="2:14" x14ac:dyDescent="0.2">
      <c r="G23" s="730"/>
      <c r="I23" s="708" t="s">
        <v>2</v>
      </c>
      <c r="J23" s="698" t="s">
        <v>190</v>
      </c>
      <c r="K23" s="698" t="s">
        <v>194</v>
      </c>
      <c r="L23" s="698" t="s">
        <v>195</v>
      </c>
      <c r="M23" s="698" t="s">
        <v>196</v>
      </c>
      <c r="N23" s="709" t="s">
        <v>197</v>
      </c>
    </row>
    <row r="24" spans="2:14" ht="16" thickBot="1" x14ac:dyDescent="0.25">
      <c r="G24" s="731"/>
      <c r="I24" s="713" t="s">
        <v>223</v>
      </c>
      <c r="J24" s="696">
        <v>3</v>
      </c>
      <c r="K24" s="696">
        <v>4</v>
      </c>
      <c r="L24" s="696">
        <v>1</v>
      </c>
      <c r="M24" s="696">
        <v>0</v>
      </c>
      <c r="N24" s="715">
        <v>8</v>
      </c>
    </row>
    <row r="25" spans="2:14" x14ac:dyDescent="0.2">
      <c r="B25" s="746" t="s">
        <v>588</v>
      </c>
      <c r="C25" s="747"/>
      <c r="D25" s="747"/>
      <c r="E25" s="748"/>
      <c r="I25" s="710" t="s">
        <v>183</v>
      </c>
      <c r="J25" s="697">
        <v>3</v>
      </c>
      <c r="K25" s="697">
        <v>4</v>
      </c>
      <c r="L25" s="697">
        <v>1</v>
      </c>
      <c r="M25" s="697">
        <v>0</v>
      </c>
      <c r="N25" s="716">
        <v>8</v>
      </c>
    </row>
    <row r="26" spans="2:14" x14ac:dyDescent="0.2">
      <c r="B26" s="706" t="s">
        <v>2</v>
      </c>
      <c r="C26" s="690" t="s">
        <v>587</v>
      </c>
      <c r="D26" s="690" t="s">
        <v>581</v>
      </c>
      <c r="E26" s="707" t="s">
        <v>582</v>
      </c>
      <c r="I26" s="710" t="s">
        <v>16</v>
      </c>
      <c r="J26" s="697">
        <v>2</v>
      </c>
      <c r="K26" s="697">
        <v>2</v>
      </c>
      <c r="L26" s="697">
        <v>1</v>
      </c>
      <c r="M26" s="697">
        <v>0</v>
      </c>
      <c r="N26" s="716">
        <v>5</v>
      </c>
    </row>
    <row r="27" spans="2:14" x14ac:dyDescent="0.2">
      <c r="B27" s="702" t="s">
        <v>14</v>
      </c>
      <c r="C27" s="691">
        <f>Value!R6</f>
        <v>220000</v>
      </c>
      <c r="D27" s="727">
        <f>_xlfn.XLOOKUP(B27,Model!$B:$B,Model!$AG:$AG)</f>
        <v>9000</v>
      </c>
      <c r="E27" s="703">
        <f>IFERROR(C27/D27,"")</f>
        <v>24.444444444444443</v>
      </c>
      <c r="I27" s="710" t="s">
        <v>181</v>
      </c>
      <c r="J27" s="697">
        <v>2</v>
      </c>
      <c r="K27" s="697">
        <v>2</v>
      </c>
      <c r="L27" s="697">
        <v>1</v>
      </c>
      <c r="M27" s="697">
        <v>0</v>
      </c>
      <c r="N27" s="716">
        <v>5</v>
      </c>
    </row>
    <row r="28" spans="2:14" x14ac:dyDescent="0.2">
      <c r="B28" s="704" t="s">
        <v>16</v>
      </c>
      <c r="C28" s="692">
        <f>Value!R7</f>
        <v>756000</v>
      </c>
      <c r="D28" s="728">
        <f>_xlfn.XLOOKUP(B28,Model!$B:$B,Model!$AG:$AG)</f>
        <v>32000</v>
      </c>
      <c r="E28" s="705">
        <f t="shared" ref="E28:E32" si="1">IFERROR(C28/D28,"")</f>
        <v>23.625</v>
      </c>
      <c r="I28" s="710" t="s">
        <v>46</v>
      </c>
      <c r="J28" s="697">
        <v>0</v>
      </c>
      <c r="K28" s="697">
        <v>0</v>
      </c>
      <c r="L28" s="697">
        <v>0</v>
      </c>
      <c r="M28" s="697">
        <v>0</v>
      </c>
      <c r="N28" s="716">
        <v>0</v>
      </c>
    </row>
    <row r="29" spans="2:14" x14ac:dyDescent="0.2">
      <c r="B29" s="704" t="s">
        <v>181</v>
      </c>
      <c r="C29" s="692">
        <f>Value!R8</f>
        <v>480000</v>
      </c>
      <c r="D29" s="728">
        <f>_xlfn.XLOOKUP(B29,Model!$B:$B,Model!$AG:$AG)</f>
        <v>16000</v>
      </c>
      <c r="E29" s="705">
        <f t="shared" si="1"/>
        <v>30</v>
      </c>
      <c r="I29" s="710" t="s">
        <v>49</v>
      </c>
      <c r="J29" s="697">
        <v>0</v>
      </c>
      <c r="K29" s="697">
        <v>0</v>
      </c>
      <c r="L29" s="697">
        <v>0</v>
      </c>
      <c r="M29" s="697">
        <v>0</v>
      </c>
      <c r="N29" s="716">
        <v>0</v>
      </c>
    </row>
    <row r="30" spans="2:14" ht="16" thickBot="1" x14ac:dyDescent="0.25">
      <c r="B30" s="704" t="s">
        <v>401</v>
      </c>
      <c r="C30" s="692">
        <f>Value!R11</f>
        <v>0</v>
      </c>
      <c r="D30" s="728">
        <f>_xlfn.XLOOKUP(B30,Model!$B:$B,Model!$AG:$AG)</f>
        <v>0</v>
      </c>
      <c r="E30" s="705" t="str">
        <f t="shared" si="1"/>
        <v/>
      </c>
      <c r="I30" s="711" t="s">
        <v>51</v>
      </c>
      <c r="J30" s="714">
        <v>0</v>
      </c>
      <c r="K30" s="714">
        <v>0</v>
      </c>
      <c r="L30" s="714">
        <v>0</v>
      </c>
      <c r="M30" s="714">
        <v>0</v>
      </c>
      <c r="N30" s="717">
        <v>0</v>
      </c>
    </row>
    <row r="31" spans="2:14" x14ac:dyDescent="0.2">
      <c r="B31" s="704" t="s">
        <v>49</v>
      </c>
      <c r="C31" s="692">
        <f>Value!R12</f>
        <v>68000</v>
      </c>
      <c r="D31" s="728">
        <f>_xlfn.XLOOKUP(B31,Model!$B:$B,Model!$AG:$AG)</f>
        <v>1800</v>
      </c>
      <c r="E31" s="705">
        <f t="shared" si="1"/>
        <v>37.777777777777779</v>
      </c>
      <c r="F31" s="718"/>
    </row>
    <row r="32" spans="2:14" x14ac:dyDescent="0.2">
      <c r="B32" s="704" t="s">
        <v>402</v>
      </c>
      <c r="C32" s="692">
        <f>Value!R13</f>
        <v>94000</v>
      </c>
      <c r="D32" s="728">
        <f>_xlfn.XLOOKUP(B32,Model!$B:$B,Model!$AG:$AG)</f>
        <v>2500</v>
      </c>
      <c r="E32" s="705">
        <f t="shared" si="1"/>
        <v>37.6</v>
      </c>
    </row>
    <row r="33" spans="2:5" ht="16" thickBot="1" x14ac:dyDescent="0.25">
      <c r="B33" s="733" t="s">
        <v>589</v>
      </c>
      <c r="C33" s="734">
        <f>SUM(C27:C32)</f>
        <v>1618000</v>
      </c>
      <c r="D33" s="735">
        <f>SUM(D27:D32)</f>
        <v>61300</v>
      </c>
      <c r="E33" s="736">
        <f>SUMPRODUCT(D27:D32,E27:E32)/D33</f>
        <v>26.39477977161501</v>
      </c>
    </row>
    <row r="35" spans="2:5" ht="16" thickBot="1" x14ac:dyDescent="0.25"/>
    <row r="36" spans="2:5" x14ac:dyDescent="0.2">
      <c r="B36" s="699" t="s">
        <v>2</v>
      </c>
      <c r="C36" s="700" t="s">
        <v>221</v>
      </c>
      <c r="D36" s="701" t="s">
        <v>142</v>
      </c>
    </row>
    <row r="37" spans="2:5" x14ac:dyDescent="0.2">
      <c r="B37" s="724" t="str">
        <f>Costs!B6</f>
        <v>Townhouses</v>
      </c>
      <c r="C37" s="719">
        <f>Costs!D6</f>
        <v>4</v>
      </c>
      <c r="D37" s="720">
        <f>Costs!E6</f>
        <v>72</v>
      </c>
    </row>
    <row r="38" spans="2:5" x14ac:dyDescent="0.2">
      <c r="B38" s="724" t="str">
        <f>Costs!B7</f>
        <v>Podium Apartments 1</v>
      </c>
      <c r="C38" s="719">
        <f>Costs!D7</f>
        <v>24</v>
      </c>
      <c r="D38" s="720">
        <f>Costs!E7</f>
        <v>120</v>
      </c>
    </row>
    <row r="39" spans="2:5" x14ac:dyDescent="0.2">
      <c r="B39" s="724" t="str">
        <f>Costs!B8</f>
        <v>Podium Apartments 2</v>
      </c>
      <c r="C39" s="719">
        <f>Costs!D8</f>
        <v>12</v>
      </c>
      <c r="D39" s="720">
        <f>Costs!E8</f>
        <v>60</v>
      </c>
    </row>
    <row r="40" spans="2:5" x14ac:dyDescent="0.2">
      <c r="B40" s="724" t="str">
        <f>Costs!B9</f>
        <v>Luxury Condos 1</v>
      </c>
      <c r="C40" s="719">
        <f>Costs!D9</f>
        <v>0</v>
      </c>
      <c r="D40" s="720">
        <f>Costs!E9</f>
        <v>0</v>
      </c>
    </row>
    <row r="41" spans="2:5" x14ac:dyDescent="0.2">
      <c r="B41" s="724" t="str">
        <f>Costs!B10</f>
        <v>Luxury Condos 2</v>
      </c>
      <c r="C41" s="719">
        <f>Costs!D10</f>
        <v>0</v>
      </c>
      <c r="D41" s="720">
        <f>Costs!E10</f>
        <v>56</v>
      </c>
    </row>
    <row r="42" spans="2:5" x14ac:dyDescent="0.2">
      <c r="B42" s="724" t="str">
        <f>Costs!B11</f>
        <v>Phoenix Hotel</v>
      </c>
      <c r="C42" s="719">
        <f>Costs!D11</f>
        <v>0</v>
      </c>
      <c r="D42" s="720">
        <f>Costs!E11</f>
        <v>0</v>
      </c>
    </row>
    <row r="43" spans="2:5" x14ac:dyDescent="0.2">
      <c r="B43" s="724" t="str">
        <f>Costs!B12</f>
        <v>York Dry Goods</v>
      </c>
      <c r="C43" s="719">
        <f>Costs!D12</f>
        <v>2</v>
      </c>
      <c r="D43" s="720">
        <f>Costs!E12</f>
        <v>30</v>
      </c>
    </row>
    <row r="44" spans="2:5" x14ac:dyDescent="0.2">
      <c r="B44" s="724" t="str">
        <f>Costs!B13</f>
        <v>Victorian Row</v>
      </c>
      <c r="C44" s="719">
        <f>Costs!D13</f>
        <v>2</v>
      </c>
      <c r="D44" s="720">
        <f>Costs!E13</f>
        <v>40</v>
      </c>
    </row>
    <row r="45" spans="2:5" ht="16" thickBot="1" x14ac:dyDescent="0.25">
      <c r="B45" s="725" t="s">
        <v>366</v>
      </c>
      <c r="C45" s="744">
        <f>SUM(C37:C44)/SUM(D37:D44)</f>
        <v>0.1164021164021164</v>
      </c>
      <c r="D45" s="745"/>
    </row>
  </sheetData>
  <autoFilter ref="B5:E5" xr:uid="{572D6598-0206-448B-AD63-DBD736579452}">
    <sortState xmlns:xlrd2="http://schemas.microsoft.com/office/spreadsheetml/2017/richdata2" ref="B6:E18">
      <sortCondition descending="1" ref="E5"/>
    </sortState>
  </autoFilter>
  <mergeCells count="2">
    <mergeCell ref="C45:D45"/>
    <mergeCell ref="B25:E2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23B9-5986-456A-B20F-2BF7EABCE5B5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8B78-53BD-4469-B33F-590FC3BD75C8}">
  <sheetPr>
    <tabColor rgb="FFFFFF00"/>
  </sheetPr>
  <dimension ref="B3:T79"/>
  <sheetViews>
    <sheetView workbookViewId="0">
      <selection activeCell="H26" sqref="H26"/>
    </sheetView>
  </sheetViews>
  <sheetFormatPr baseColWidth="10" defaultColWidth="8.83203125" defaultRowHeight="15" x14ac:dyDescent="0.2"/>
  <cols>
    <col min="2" max="2" width="32" bestFit="1" customWidth="1"/>
    <col min="3" max="3" width="28.5" bestFit="1" customWidth="1"/>
    <col min="4" max="4" width="8.83203125" bestFit="1" customWidth="1"/>
    <col min="5" max="5" width="17.6640625" bestFit="1" customWidth="1"/>
    <col min="6" max="6" width="24.5" bestFit="1" customWidth="1"/>
    <col min="7" max="7" width="18.83203125" bestFit="1" customWidth="1"/>
    <col min="8" max="8" width="23.5" bestFit="1" customWidth="1"/>
    <col min="9" max="9" width="28.33203125" bestFit="1" customWidth="1"/>
    <col min="10" max="10" width="18.1640625" customWidth="1"/>
    <col min="11" max="11" width="35.6640625" bestFit="1" customWidth="1"/>
    <col min="12" max="12" width="17.5" customWidth="1"/>
    <col min="13" max="13" width="23.5" bestFit="1" customWidth="1"/>
    <col min="14" max="15" width="21.33203125" customWidth="1"/>
    <col min="16" max="16" width="23.5" customWidth="1"/>
    <col min="17" max="17" width="24.1640625" bestFit="1" customWidth="1"/>
    <col min="18" max="18" width="31.1640625" bestFit="1" customWidth="1"/>
    <col min="19" max="19" width="24.5" bestFit="1" customWidth="1"/>
    <col min="20" max="20" width="23.5" customWidth="1"/>
  </cols>
  <sheetData>
    <row r="3" spans="2:20" x14ac:dyDescent="0.2">
      <c r="C3">
        <f>20*5</f>
        <v>100</v>
      </c>
    </row>
    <row r="5" spans="2:20" x14ac:dyDescent="0.2">
      <c r="F5" s="687">
        <f>E13/D13</f>
        <v>1875</v>
      </c>
      <c r="M5" s="671"/>
      <c r="N5" s="671"/>
      <c r="O5" s="671"/>
      <c r="P5" s="671"/>
      <c r="Q5" s="671" t="s">
        <v>401</v>
      </c>
      <c r="R5" s="671"/>
      <c r="S5" s="671"/>
      <c r="T5" s="671"/>
    </row>
    <row r="6" spans="2:20" x14ac:dyDescent="0.2">
      <c r="B6" s="672" t="s">
        <v>564</v>
      </c>
      <c r="C6" s="672" t="s">
        <v>565</v>
      </c>
      <c r="D6" s="672" t="s">
        <v>199</v>
      </c>
      <c r="E6" s="673" t="s">
        <v>368</v>
      </c>
      <c r="F6" s="672" t="s">
        <v>576</v>
      </c>
      <c r="G6" s="672" t="s">
        <v>566</v>
      </c>
      <c r="H6" s="673" t="s">
        <v>567</v>
      </c>
      <c r="I6" s="672" t="s">
        <v>268</v>
      </c>
      <c r="J6" s="672" t="s">
        <v>579</v>
      </c>
      <c r="K6" s="674"/>
      <c r="L6" s="674"/>
      <c r="M6" s="672" t="s">
        <v>565</v>
      </c>
      <c r="N6" s="674"/>
      <c r="O6" s="674"/>
      <c r="P6" s="674"/>
      <c r="Q6" s="674" t="s">
        <v>400</v>
      </c>
      <c r="R6" s="674"/>
      <c r="S6" s="674"/>
      <c r="T6" s="674"/>
    </row>
    <row r="7" spans="2:20" x14ac:dyDescent="0.2">
      <c r="B7">
        <v>1</v>
      </c>
      <c r="C7" t="s">
        <v>183</v>
      </c>
      <c r="D7">
        <v>56</v>
      </c>
      <c r="E7" s="47">
        <v>80000</v>
      </c>
      <c r="F7" s="675">
        <v>11178117.647058822</v>
      </c>
      <c r="G7" s="682">
        <f t="shared" ref="G7:G14" si="0">F7/D7</f>
        <v>199609.24369747896</v>
      </c>
      <c r="H7" s="677">
        <f t="shared" ref="H7:H14" si="1">F7/E7</f>
        <v>139.72647058823529</v>
      </c>
      <c r="I7" s="678">
        <v>0</v>
      </c>
      <c r="J7" s="678">
        <f>I7/D7</f>
        <v>0</v>
      </c>
      <c r="K7" s="688"/>
      <c r="M7" s="686" t="s">
        <v>16</v>
      </c>
      <c r="N7" s="686"/>
      <c r="Q7" t="s">
        <v>49</v>
      </c>
    </row>
    <row r="8" spans="2:20" x14ac:dyDescent="0.2">
      <c r="B8">
        <v>1</v>
      </c>
      <c r="C8" t="s">
        <v>223</v>
      </c>
      <c r="D8">
        <v>56</v>
      </c>
      <c r="E8" s="47">
        <v>80000</v>
      </c>
      <c r="F8" s="675">
        <v>11103000</v>
      </c>
      <c r="G8" s="682">
        <f t="shared" si="0"/>
        <v>198267.85714285713</v>
      </c>
      <c r="H8" s="677">
        <f t="shared" si="1"/>
        <v>138.78749999999999</v>
      </c>
      <c r="I8" s="678">
        <v>0</v>
      </c>
      <c r="J8" s="678">
        <f>I8/D8</f>
        <v>0</v>
      </c>
      <c r="K8" s="688"/>
      <c r="M8" s="686" t="s">
        <v>181</v>
      </c>
      <c r="N8" s="686"/>
      <c r="O8" s="679"/>
      <c r="Q8" s="675" t="s">
        <v>402</v>
      </c>
      <c r="R8" s="680"/>
      <c r="S8" s="675"/>
      <c r="T8" s="680"/>
    </row>
    <row r="9" spans="2:20" x14ac:dyDescent="0.2">
      <c r="B9">
        <v>5</v>
      </c>
      <c r="C9" t="s">
        <v>181</v>
      </c>
      <c r="D9">
        <v>60</v>
      </c>
      <c r="E9" s="47">
        <v>80000</v>
      </c>
      <c r="F9" s="675">
        <v>4482764.7058823537</v>
      </c>
      <c r="G9" s="682">
        <f t="shared" si="0"/>
        <v>74712.745098039231</v>
      </c>
      <c r="H9" s="677">
        <f t="shared" si="1"/>
        <v>56.034558823529423</v>
      </c>
      <c r="I9" s="678">
        <v>240000</v>
      </c>
      <c r="J9" s="678">
        <f t="shared" ref="J9:J14" si="2">I9/D9</f>
        <v>4000</v>
      </c>
      <c r="K9" s="688"/>
      <c r="M9" s="686" t="s">
        <v>223</v>
      </c>
      <c r="N9" s="686"/>
      <c r="O9" s="681"/>
      <c r="Q9" s="675" t="s">
        <v>396</v>
      </c>
      <c r="R9" s="680"/>
      <c r="S9" s="675"/>
      <c r="T9" s="680"/>
    </row>
    <row r="10" spans="2:20" x14ac:dyDescent="0.2">
      <c r="B10">
        <v>5</v>
      </c>
      <c r="C10" t="s">
        <v>16</v>
      </c>
      <c r="D10">
        <v>60</v>
      </c>
      <c r="E10" s="47">
        <v>80000</v>
      </c>
      <c r="F10" s="675">
        <v>4032000</v>
      </c>
      <c r="G10" s="682">
        <f t="shared" si="0"/>
        <v>67200</v>
      </c>
      <c r="H10" s="677">
        <f t="shared" si="1"/>
        <v>50.4</v>
      </c>
      <c r="I10" s="678">
        <v>189000</v>
      </c>
      <c r="J10" s="678">
        <f t="shared" si="2"/>
        <v>3150</v>
      </c>
      <c r="K10" s="688"/>
      <c r="M10" s="686" t="s">
        <v>183</v>
      </c>
      <c r="N10" s="686"/>
      <c r="O10" s="681"/>
      <c r="Q10" s="675" t="s">
        <v>397</v>
      </c>
      <c r="R10" s="680"/>
      <c r="S10" s="675"/>
      <c r="T10" s="680"/>
    </row>
    <row r="11" spans="2:20" x14ac:dyDescent="0.2">
      <c r="B11">
        <v>9</v>
      </c>
      <c r="C11" t="s">
        <v>14</v>
      </c>
      <c r="D11">
        <v>8</v>
      </c>
      <c r="E11" s="612">
        <v>10000</v>
      </c>
      <c r="F11" s="675">
        <v>978000</v>
      </c>
      <c r="G11" s="682">
        <f t="shared" si="0"/>
        <v>122250</v>
      </c>
      <c r="H11" s="677">
        <f t="shared" si="1"/>
        <v>97.8</v>
      </c>
      <c r="I11" s="678">
        <v>49000</v>
      </c>
      <c r="J11" s="678">
        <f t="shared" si="2"/>
        <v>6125</v>
      </c>
      <c r="K11" s="688"/>
      <c r="M11" s="676" t="s">
        <v>46</v>
      </c>
      <c r="N11" s="676"/>
      <c r="Q11" t="s">
        <v>398</v>
      </c>
    </row>
    <row r="12" spans="2:20" x14ac:dyDescent="0.2">
      <c r="C12" t="s">
        <v>100</v>
      </c>
      <c r="D12">
        <v>30</v>
      </c>
      <c r="E12" s="612">
        <v>36000</v>
      </c>
      <c r="F12" s="675">
        <v>2880000</v>
      </c>
      <c r="G12" s="682">
        <f t="shared" si="0"/>
        <v>96000</v>
      </c>
      <c r="H12" s="677">
        <f t="shared" si="1"/>
        <v>80</v>
      </c>
      <c r="I12" s="678">
        <v>45000</v>
      </c>
      <c r="J12" s="678">
        <f t="shared" si="2"/>
        <v>1500</v>
      </c>
      <c r="K12" s="688"/>
      <c r="M12" s="676" t="s">
        <v>49</v>
      </c>
      <c r="N12" s="676"/>
      <c r="Q12" t="s">
        <v>399</v>
      </c>
    </row>
    <row r="13" spans="2:20" x14ac:dyDescent="0.2">
      <c r="C13" t="s">
        <v>46</v>
      </c>
      <c r="D13">
        <v>24</v>
      </c>
      <c r="E13" s="612">
        <v>45000</v>
      </c>
      <c r="F13" s="675">
        <v>3600000</v>
      </c>
      <c r="G13" s="682">
        <f t="shared" si="0"/>
        <v>150000</v>
      </c>
      <c r="H13" s="677">
        <f t="shared" si="1"/>
        <v>80</v>
      </c>
      <c r="I13" s="678">
        <v>113000</v>
      </c>
      <c r="J13" s="678">
        <f t="shared" si="2"/>
        <v>4708.333333333333</v>
      </c>
      <c r="K13" s="688"/>
      <c r="M13" s="676" t="s">
        <v>51</v>
      </c>
      <c r="N13" s="676"/>
      <c r="O13" s="671"/>
      <c r="P13" s="671"/>
      <c r="Q13" s="671" t="s">
        <v>35</v>
      </c>
      <c r="R13" s="671"/>
      <c r="S13" s="671"/>
      <c r="T13" s="671"/>
    </row>
    <row r="14" spans="2:20" x14ac:dyDescent="0.2">
      <c r="C14" t="s">
        <v>120</v>
      </c>
      <c r="D14">
        <v>40</v>
      </c>
      <c r="E14" s="612">
        <v>75000</v>
      </c>
      <c r="F14" s="675">
        <v>3375000</v>
      </c>
      <c r="G14" s="682">
        <f t="shared" si="0"/>
        <v>84375</v>
      </c>
      <c r="H14" s="677">
        <f t="shared" si="1"/>
        <v>45</v>
      </c>
      <c r="I14" s="678">
        <v>188000</v>
      </c>
      <c r="J14" s="678">
        <f t="shared" si="2"/>
        <v>4700</v>
      </c>
      <c r="K14" s="688"/>
      <c r="M14" s="676"/>
      <c r="N14" s="676"/>
      <c r="O14" s="674"/>
      <c r="P14" s="674"/>
      <c r="Q14" s="674" t="s">
        <v>37</v>
      </c>
      <c r="R14" s="674"/>
      <c r="S14" s="674"/>
      <c r="T14" s="674"/>
    </row>
    <row r="15" spans="2:20" x14ac:dyDescent="0.2">
      <c r="E15" s="675"/>
      <c r="F15" s="676"/>
      <c r="M15" s="676"/>
      <c r="N15" s="676"/>
      <c r="O15" s="681"/>
      <c r="Q15" s="681" t="s">
        <v>39</v>
      </c>
      <c r="R15" s="681"/>
    </row>
    <row r="16" spans="2:20" x14ac:dyDescent="0.2">
      <c r="B16" s="672" t="s">
        <v>564</v>
      </c>
      <c r="C16" s="672" t="s">
        <v>568</v>
      </c>
      <c r="D16" s="672" t="s">
        <v>176</v>
      </c>
      <c r="E16" s="672" t="s">
        <v>576</v>
      </c>
      <c r="F16" s="672" t="s">
        <v>569</v>
      </c>
      <c r="M16" s="676"/>
      <c r="N16" s="676"/>
      <c r="O16" s="681"/>
      <c r="Q16" s="681" t="s">
        <v>41</v>
      </c>
      <c r="R16" s="681"/>
      <c r="T16" s="680"/>
    </row>
    <row r="17" spans="2:20" x14ac:dyDescent="0.2">
      <c r="B17">
        <v>2</v>
      </c>
      <c r="C17" t="s">
        <v>30</v>
      </c>
      <c r="D17" s="612">
        <v>120000</v>
      </c>
      <c r="E17" s="675">
        <v>17205000</v>
      </c>
      <c r="F17" s="682">
        <f>E17/D17</f>
        <v>143.375</v>
      </c>
      <c r="M17" s="676"/>
      <c r="N17" s="676"/>
      <c r="O17" s="681"/>
      <c r="Q17" s="681" t="s">
        <v>14</v>
      </c>
      <c r="R17" s="681"/>
      <c r="T17" s="680"/>
    </row>
    <row r="18" spans="2:20" x14ac:dyDescent="0.2">
      <c r="B18">
        <v>1</v>
      </c>
      <c r="C18" t="s">
        <v>32</v>
      </c>
      <c r="D18" s="612">
        <v>120000</v>
      </c>
      <c r="E18" s="675">
        <v>15358000</v>
      </c>
      <c r="F18" s="682">
        <f>E18/D18</f>
        <v>127.98333333333333</v>
      </c>
      <c r="M18" s="681"/>
      <c r="N18" s="681"/>
      <c r="O18" s="681"/>
      <c r="Q18" s="681" t="s">
        <v>16</v>
      </c>
      <c r="R18" s="681"/>
      <c r="T18" s="680"/>
    </row>
    <row r="19" spans="2:20" x14ac:dyDescent="0.2">
      <c r="B19">
        <v>4</v>
      </c>
      <c r="C19" t="s">
        <v>26</v>
      </c>
      <c r="D19" s="612">
        <v>45000</v>
      </c>
      <c r="E19" s="675">
        <v>4289500</v>
      </c>
      <c r="F19" s="682">
        <f>E19/D19</f>
        <v>95.322222222222223</v>
      </c>
      <c r="M19" s="681"/>
      <c r="N19" s="681"/>
      <c r="O19" s="681"/>
      <c r="Q19" s="681" t="s">
        <v>181</v>
      </c>
      <c r="R19" s="681"/>
      <c r="T19" s="680"/>
    </row>
    <row r="20" spans="2:20" x14ac:dyDescent="0.2">
      <c r="B20">
        <v>3</v>
      </c>
      <c r="C20" t="s">
        <v>28</v>
      </c>
      <c r="D20" s="612">
        <v>60000</v>
      </c>
      <c r="E20" s="675">
        <v>5719000</v>
      </c>
      <c r="F20" s="682">
        <f>E20/D20</f>
        <v>95.316666666666663</v>
      </c>
      <c r="M20" s="674"/>
      <c r="N20" s="674"/>
      <c r="O20" s="674"/>
      <c r="P20" s="674"/>
      <c r="Q20" s="674" t="s">
        <v>223</v>
      </c>
      <c r="R20" s="674"/>
    </row>
    <row r="21" spans="2:20" x14ac:dyDescent="0.2">
      <c r="E21" s="675"/>
      <c r="F21" s="676"/>
      <c r="N21" s="679"/>
      <c r="O21" s="679"/>
      <c r="Q21" t="s">
        <v>183</v>
      </c>
    </row>
    <row r="22" spans="2:20" x14ac:dyDescent="0.2">
      <c r="E22" s="675"/>
      <c r="F22" s="676"/>
      <c r="Q22" t="s">
        <v>403</v>
      </c>
    </row>
    <row r="23" spans="2:20" x14ac:dyDescent="0.2">
      <c r="B23" s="672" t="s">
        <v>564</v>
      </c>
      <c r="C23" s="672" t="s">
        <v>570</v>
      </c>
      <c r="D23" s="672" t="s">
        <v>176</v>
      </c>
      <c r="E23" s="672" t="s">
        <v>576</v>
      </c>
      <c r="F23" s="672" t="s">
        <v>569</v>
      </c>
      <c r="Q23" t="s">
        <v>404</v>
      </c>
    </row>
    <row r="24" spans="2:20" x14ac:dyDescent="0.2">
      <c r="B24" t="s">
        <v>571</v>
      </c>
      <c r="C24" t="s">
        <v>226</v>
      </c>
      <c r="D24" s="683">
        <v>5000</v>
      </c>
      <c r="E24" s="675">
        <v>617000</v>
      </c>
      <c r="F24" s="682">
        <f t="shared" ref="F24:F30" si="3">E24/D24</f>
        <v>123.4</v>
      </c>
      <c r="Q24" t="s">
        <v>405</v>
      </c>
    </row>
    <row r="25" spans="2:20" x14ac:dyDescent="0.2">
      <c r="B25">
        <v>1</v>
      </c>
      <c r="C25" t="s">
        <v>39</v>
      </c>
      <c r="D25">
        <v>40000</v>
      </c>
      <c r="E25" s="675">
        <v>4125000</v>
      </c>
      <c r="F25" s="682">
        <f t="shared" si="3"/>
        <v>103.125</v>
      </c>
      <c r="Q25" t="s">
        <v>98</v>
      </c>
    </row>
    <row r="26" spans="2:20" x14ac:dyDescent="0.2">
      <c r="B26" t="s">
        <v>571</v>
      </c>
      <c r="C26" t="s">
        <v>228</v>
      </c>
      <c r="D26">
        <v>5000</v>
      </c>
      <c r="E26" s="675">
        <v>504882.35294117639</v>
      </c>
      <c r="F26" s="682">
        <f t="shared" si="3"/>
        <v>100.97647058823527</v>
      </c>
    </row>
    <row r="27" spans="2:20" x14ac:dyDescent="0.2">
      <c r="B27">
        <v>1</v>
      </c>
      <c r="C27" t="s">
        <v>41</v>
      </c>
      <c r="D27">
        <v>80000</v>
      </c>
      <c r="E27" s="675">
        <v>7500000</v>
      </c>
      <c r="F27" s="682">
        <f t="shared" si="3"/>
        <v>93.75</v>
      </c>
    </row>
    <row r="28" spans="2:20" x14ac:dyDescent="0.2">
      <c r="B28">
        <v>10</v>
      </c>
      <c r="C28" t="s">
        <v>35</v>
      </c>
      <c r="D28" s="250">
        <v>5000</v>
      </c>
      <c r="E28" s="675">
        <v>375000</v>
      </c>
      <c r="F28" s="682">
        <f t="shared" si="3"/>
        <v>75</v>
      </c>
    </row>
    <row r="29" spans="2:20" x14ac:dyDescent="0.2">
      <c r="B29">
        <v>6</v>
      </c>
      <c r="C29" t="s">
        <v>37</v>
      </c>
      <c r="D29">
        <v>10000</v>
      </c>
      <c r="E29" s="675">
        <v>750000</v>
      </c>
      <c r="F29" s="682">
        <f t="shared" si="3"/>
        <v>75</v>
      </c>
    </row>
    <row r="30" spans="2:20" x14ac:dyDescent="0.2">
      <c r="B30" t="s">
        <v>571</v>
      </c>
      <c r="C30" t="s">
        <v>227</v>
      </c>
      <c r="D30">
        <v>5000</v>
      </c>
      <c r="E30" s="675">
        <v>260735.29411764711</v>
      </c>
      <c r="F30" s="682">
        <f t="shared" si="3"/>
        <v>52.14705882352942</v>
      </c>
    </row>
    <row r="33" spans="2:10" x14ac:dyDescent="0.2">
      <c r="B33" s="749" t="s">
        <v>82</v>
      </c>
      <c r="C33" s="749"/>
      <c r="D33" s="749"/>
      <c r="E33" s="749"/>
      <c r="F33" s="749"/>
      <c r="G33" s="749"/>
      <c r="H33" s="749"/>
      <c r="I33" s="749"/>
      <c r="J33" s="673"/>
    </row>
    <row r="34" spans="2:10" x14ac:dyDescent="0.2">
      <c r="B34" s="684" t="s">
        <v>92</v>
      </c>
      <c r="C34" s="684" t="s">
        <v>13</v>
      </c>
      <c r="D34" s="672" t="s">
        <v>25</v>
      </c>
      <c r="E34" s="672" t="s">
        <v>90</v>
      </c>
      <c r="F34" s="672" t="s">
        <v>577</v>
      </c>
      <c r="G34" s="672" t="s">
        <v>572</v>
      </c>
      <c r="H34" s="672" t="s">
        <v>578</v>
      </c>
      <c r="I34" s="672" t="s">
        <v>573</v>
      </c>
      <c r="J34" s="673" t="s">
        <v>574</v>
      </c>
    </row>
    <row r="35" spans="2:10" x14ac:dyDescent="0.2">
      <c r="B35" s="681">
        <v>60000</v>
      </c>
      <c r="C35">
        <v>15000</v>
      </c>
      <c r="D35" s="681">
        <f>B35-C35</f>
        <v>45000</v>
      </c>
      <c r="E35">
        <v>0</v>
      </c>
      <c r="F35" s="675">
        <v>2813000</v>
      </c>
      <c r="G35" s="680">
        <f>F35/D35</f>
        <v>62.511111111111113</v>
      </c>
      <c r="H35" s="675">
        <v>1125000</v>
      </c>
      <c r="I35" s="680">
        <f>H35/C35</f>
        <v>75</v>
      </c>
      <c r="J35" s="680">
        <f>I35+G35</f>
        <v>137.51111111111112</v>
      </c>
    </row>
    <row r="36" spans="2:10" x14ac:dyDescent="0.2">
      <c r="B36" s="681">
        <v>60000</v>
      </c>
      <c r="C36">
        <v>10000</v>
      </c>
      <c r="D36" s="681">
        <f>B36-C36</f>
        <v>50000</v>
      </c>
      <c r="E36">
        <v>0</v>
      </c>
      <c r="F36" s="675">
        <v>3125000</v>
      </c>
      <c r="G36" s="680">
        <f>F36/D36</f>
        <v>62.5</v>
      </c>
      <c r="H36" s="675">
        <v>750000</v>
      </c>
      <c r="I36" s="680">
        <f>H36/C36</f>
        <v>75</v>
      </c>
      <c r="J36" s="680">
        <f t="shared" ref="J36:J38" si="4">I36+G36</f>
        <v>137.5</v>
      </c>
    </row>
    <row r="37" spans="2:10" x14ac:dyDescent="0.2">
      <c r="B37" s="681">
        <v>60000</v>
      </c>
      <c r="C37" s="612">
        <v>5000</v>
      </c>
      <c r="D37" s="681">
        <v>55000</v>
      </c>
      <c r="E37">
        <v>0</v>
      </c>
      <c r="F37" s="675">
        <v>3438000</v>
      </c>
      <c r="G37" s="680">
        <f>F37/D37</f>
        <v>62.509090909090908</v>
      </c>
      <c r="H37" s="675">
        <v>375000</v>
      </c>
      <c r="I37" s="680">
        <f>H37/C37</f>
        <v>75</v>
      </c>
      <c r="J37" s="680">
        <f t="shared" si="4"/>
        <v>137.5090909090909</v>
      </c>
    </row>
    <row r="38" spans="2:10" x14ac:dyDescent="0.2">
      <c r="B38" s="681">
        <v>60000</v>
      </c>
      <c r="C38">
        <v>0</v>
      </c>
      <c r="D38" s="681">
        <v>60000</v>
      </c>
      <c r="E38">
        <v>0</v>
      </c>
      <c r="F38" s="685">
        <v>3750000</v>
      </c>
      <c r="G38" s="680">
        <f>F38/D38</f>
        <v>62.5</v>
      </c>
      <c r="J38" s="680">
        <f t="shared" si="4"/>
        <v>62.5</v>
      </c>
    </row>
    <row r="40" spans="2:10" x14ac:dyDescent="0.2">
      <c r="B40" s="749" t="s">
        <v>575</v>
      </c>
      <c r="C40" s="749"/>
      <c r="D40" s="749"/>
      <c r="E40" s="749"/>
      <c r="F40" s="749"/>
      <c r="G40" s="749"/>
      <c r="H40" s="749"/>
      <c r="I40" s="749"/>
      <c r="J40" s="673"/>
    </row>
    <row r="41" spans="2:10" x14ac:dyDescent="0.2">
      <c r="B41" s="684" t="s">
        <v>92</v>
      </c>
      <c r="C41" s="684" t="s">
        <v>13</v>
      </c>
      <c r="D41" s="672" t="s">
        <v>25</v>
      </c>
      <c r="E41" s="672" t="s">
        <v>90</v>
      </c>
      <c r="F41" s="672" t="s">
        <v>577</v>
      </c>
      <c r="G41" s="672" t="s">
        <v>572</v>
      </c>
      <c r="H41" s="672" t="s">
        <v>578</v>
      </c>
      <c r="I41" s="672" t="s">
        <v>573</v>
      </c>
      <c r="J41" s="673" t="s">
        <v>574</v>
      </c>
    </row>
    <row r="42" spans="2:10" x14ac:dyDescent="0.2">
      <c r="B42" s="681">
        <v>75000</v>
      </c>
      <c r="C42" s="681">
        <v>0</v>
      </c>
      <c r="D42" s="681">
        <f>B42-C42</f>
        <v>75000</v>
      </c>
      <c r="E42">
        <v>0</v>
      </c>
      <c r="F42" s="681">
        <v>3750000</v>
      </c>
      <c r="G42" s="680">
        <f>F42/D42</f>
        <v>50</v>
      </c>
      <c r="H42">
        <v>0</v>
      </c>
      <c r="I42">
        <v>0</v>
      </c>
      <c r="J42" s="680">
        <f t="shared" ref="J42:J46" si="5">I42+G42</f>
        <v>50</v>
      </c>
    </row>
    <row r="43" spans="2:10" x14ac:dyDescent="0.2">
      <c r="B43" s="681">
        <v>75000</v>
      </c>
      <c r="C43" s="681">
        <v>5000</v>
      </c>
      <c r="D43" s="681">
        <f t="shared" ref="D43:D46" si="6">B43-C43</f>
        <v>70000</v>
      </c>
      <c r="E43">
        <v>0</v>
      </c>
      <c r="F43" s="681">
        <v>3500000</v>
      </c>
      <c r="G43" s="680">
        <f t="shared" ref="G43:G46" si="7">F43/D43</f>
        <v>50</v>
      </c>
      <c r="H43">
        <v>313000</v>
      </c>
      <c r="I43" s="680">
        <f>H43/C43</f>
        <v>62.6</v>
      </c>
      <c r="J43" s="680">
        <f t="shared" si="5"/>
        <v>112.6</v>
      </c>
    </row>
    <row r="44" spans="2:10" x14ac:dyDescent="0.2">
      <c r="B44" s="681">
        <v>75000</v>
      </c>
      <c r="C44" s="681">
        <v>10000</v>
      </c>
      <c r="D44" s="681">
        <f t="shared" si="6"/>
        <v>65000</v>
      </c>
      <c r="E44">
        <v>0</v>
      </c>
      <c r="F44" s="681">
        <v>3250000</v>
      </c>
      <c r="G44" s="680">
        <f t="shared" si="7"/>
        <v>50</v>
      </c>
      <c r="H44">
        <v>625000</v>
      </c>
      <c r="I44" s="680">
        <f t="shared" ref="I44:I46" si="8">H44/C44</f>
        <v>62.5</v>
      </c>
      <c r="J44" s="680">
        <f t="shared" si="5"/>
        <v>112.5</v>
      </c>
    </row>
    <row r="45" spans="2:10" x14ac:dyDescent="0.2">
      <c r="B45" s="681">
        <v>75000</v>
      </c>
      <c r="C45" s="681">
        <v>15000</v>
      </c>
      <c r="D45" s="681">
        <f t="shared" si="6"/>
        <v>60000</v>
      </c>
      <c r="E45">
        <v>0</v>
      </c>
      <c r="F45" s="681">
        <v>3000000</v>
      </c>
      <c r="G45" s="680">
        <f t="shared" si="7"/>
        <v>50</v>
      </c>
      <c r="H45">
        <v>938000</v>
      </c>
      <c r="I45" s="680">
        <f t="shared" si="8"/>
        <v>62.533333333333331</v>
      </c>
      <c r="J45" s="680">
        <f t="shared" si="5"/>
        <v>112.53333333333333</v>
      </c>
    </row>
    <row r="46" spans="2:10" x14ac:dyDescent="0.2">
      <c r="B46" s="681">
        <v>75000</v>
      </c>
      <c r="C46" s="681">
        <v>20000</v>
      </c>
      <c r="D46" s="681">
        <f t="shared" si="6"/>
        <v>55000</v>
      </c>
      <c r="E46">
        <v>0</v>
      </c>
      <c r="F46" s="681">
        <v>2750000.0000000019</v>
      </c>
      <c r="G46" s="680">
        <f t="shared" si="7"/>
        <v>50.000000000000036</v>
      </c>
      <c r="H46">
        <v>1250000</v>
      </c>
      <c r="I46" s="680">
        <f t="shared" si="8"/>
        <v>62.5</v>
      </c>
      <c r="J46" s="680">
        <f t="shared" si="5"/>
        <v>112.50000000000003</v>
      </c>
    </row>
    <row r="61" spans="2:5" x14ac:dyDescent="0.2">
      <c r="B61" t="s">
        <v>49</v>
      </c>
      <c r="C61" t="s">
        <v>429</v>
      </c>
      <c r="E61" t="s">
        <v>429</v>
      </c>
    </row>
    <row r="62" spans="2:5" x14ac:dyDescent="0.2">
      <c r="B62" t="s">
        <v>402</v>
      </c>
      <c r="C62" t="s">
        <v>429</v>
      </c>
      <c r="E62" t="s">
        <v>429</v>
      </c>
    </row>
    <row r="63" spans="2:5" x14ac:dyDescent="0.2">
      <c r="B63" t="s">
        <v>396</v>
      </c>
      <c r="C63" s="675">
        <v>4289063</v>
      </c>
      <c r="E63" s="689">
        <v>142.96876666666665</v>
      </c>
    </row>
    <row r="64" spans="2:5" x14ac:dyDescent="0.2">
      <c r="B64" t="s">
        <v>397</v>
      </c>
      <c r="C64" s="675">
        <v>5718750</v>
      </c>
      <c r="E64" s="689">
        <v>142.96875</v>
      </c>
    </row>
    <row r="65" spans="2:5" x14ac:dyDescent="0.2">
      <c r="B65" t="s">
        <v>398</v>
      </c>
      <c r="C65" s="675">
        <v>17205000</v>
      </c>
      <c r="E65" s="689">
        <v>430.125</v>
      </c>
    </row>
    <row r="66" spans="2:5" x14ac:dyDescent="0.2">
      <c r="B66" t="s">
        <v>399</v>
      </c>
      <c r="C66" s="675">
        <v>15975439</v>
      </c>
      <c r="E66" s="689">
        <v>798.77194999999995</v>
      </c>
    </row>
    <row r="67" spans="2:5" x14ac:dyDescent="0.2">
      <c r="B67" t="s">
        <v>35</v>
      </c>
      <c r="C67" s="675">
        <v>375000</v>
      </c>
      <c r="E67" s="689">
        <v>37.5</v>
      </c>
    </row>
    <row r="68" spans="2:5" x14ac:dyDescent="0.2">
      <c r="B68" t="s">
        <v>37</v>
      </c>
      <c r="C68" s="675">
        <v>750000</v>
      </c>
      <c r="E68" s="689">
        <v>37.5</v>
      </c>
    </row>
    <row r="69" spans="2:5" x14ac:dyDescent="0.2">
      <c r="B69" t="s">
        <v>39</v>
      </c>
      <c r="C69" s="675">
        <v>4124751</v>
      </c>
      <c r="E69" s="689">
        <v>82.495019999999997</v>
      </c>
    </row>
    <row r="70" spans="2:5" x14ac:dyDescent="0.2">
      <c r="B70" t="s">
        <v>41</v>
      </c>
      <c r="C70" s="675">
        <v>7500000</v>
      </c>
      <c r="E70" s="689">
        <v>75</v>
      </c>
    </row>
    <row r="71" spans="2:5" x14ac:dyDescent="0.2">
      <c r="B71" t="s">
        <v>14</v>
      </c>
      <c r="C71" s="675">
        <v>978000</v>
      </c>
      <c r="E71" s="689">
        <v>97.8</v>
      </c>
    </row>
    <row r="72" spans="2:5" x14ac:dyDescent="0.2">
      <c r="B72" t="s">
        <v>16</v>
      </c>
      <c r="C72" s="675">
        <v>4032000</v>
      </c>
      <c r="E72" s="689">
        <v>201.6</v>
      </c>
    </row>
    <row r="73" spans="2:5" x14ac:dyDescent="0.2">
      <c r="B73" t="s">
        <v>181</v>
      </c>
      <c r="C73" s="675">
        <v>4743909</v>
      </c>
      <c r="E73" s="689">
        <v>237.19544999999999</v>
      </c>
    </row>
    <row r="74" spans="2:5" x14ac:dyDescent="0.2">
      <c r="B74" t="s">
        <v>223</v>
      </c>
      <c r="C74" s="675">
        <v>11102960</v>
      </c>
      <c r="E74" s="689">
        <v>555.14800000000002</v>
      </c>
    </row>
    <row r="75" spans="2:5" x14ac:dyDescent="0.2">
      <c r="B75" t="s">
        <v>183</v>
      </c>
      <c r="C75" s="675">
        <v>11683887</v>
      </c>
      <c r="E75" s="689">
        <v>584.19434999999999</v>
      </c>
    </row>
    <row r="76" spans="2:5" x14ac:dyDescent="0.2">
      <c r="B76" t="s">
        <v>403</v>
      </c>
      <c r="C76" t="s">
        <v>429</v>
      </c>
      <c r="E76" t="s">
        <v>429</v>
      </c>
    </row>
    <row r="77" spans="2:5" x14ac:dyDescent="0.2">
      <c r="B77" t="s">
        <v>404</v>
      </c>
      <c r="C77" t="s">
        <v>429</v>
      </c>
      <c r="E77" t="s">
        <v>429</v>
      </c>
    </row>
    <row r="78" spans="2:5" x14ac:dyDescent="0.2">
      <c r="B78" t="s">
        <v>405</v>
      </c>
      <c r="C78" t="s">
        <v>429</v>
      </c>
      <c r="E78" t="s">
        <v>429</v>
      </c>
    </row>
    <row r="79" spans="2:5" x14ac:dyDescent="0.2">
      <c r="B79" t="s">
        <v>98</v>
      </c>
      <c r="C79" t="s">
        <v>429</v>
      </c>
      <c r="E79" t="s">
        <v>429</v>
      </c>
    </row>
  </sheetData>
  <autoFilter ref="B34:I34" xr:uid="{9945D59B-7082-46F5-A8EB-DCF1D1965C1E}">
    <sortState xmlns:xlrd2="http://schemas.microsoft.com/office/spreadsheetml/2017/richdata2" ref="B35:I38">
      <sortCondition ref="D34"/>
    </sortState>
  </autoFilter>
  <mergeCells count="2">
    <mergeCell ref="B33:I33"/>
    <mergeCell ref="B40:I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894908A4F674799999C4A2674B4A6" ma:contentTypeVersion="22" ma:contentTypeDescription="Create a new document." ma:contentTypeScope="" ma:versionID="d059be1298a476cb4428ee0f0289107a">
  <xsd:schema xmlns:xsd="http://www.w3.org/2001/XMLSchema" xmlns:xs="http://www.w3.org/2001/XMLSchema" xmlns:p="http://schemas.microsoft.com/office/2006/metadata/properties" xmlns:ns1="http://schemas.microsoft.com/sharepoint/v3" xmlns:ns2="6fd07f89-c2ec-4e87-a0f2-131d82e37d8d" xmlns:ns3="837d5594-9fb3-4561-af46-15b7bebf62aa" xmlns:ns4="http://schemas.microsoft.com/sharepoint/v4" targetNamespace="http://schemas.microsoft.com/office/2006/metadata/properties" ma:root="true" ma:fieldsID="ee219671dafc13a9f93c42caa7f6a02f" ns1:_="" ns2:_="" ns3:_="" ns4:_="">
    <xsd:import namespace="http://schemas.microsoft.com/sharepoint/v3"/>
    <xsd:import namespace="6fd07f89-c2ec-4e87-a0f2-131d82e37d8d"/>
    <xsd:import namespace="837d5594-9fb3-4561-af46-15b7bebf62a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IconOverlay" minOccurs="0"/>
                <xsd:element ref="ns2:Not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07f89-c2ec-4e87-a0f2-131d82e37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4f5b13-403a-4dd3-b9ce-b7b6c8a66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d5594-9fb3-4561-af46-15b7bebf62a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9d8f800-84cf-487d-afff-7ea5c7ed6083}" ma:internalName="TaxCatchAll" ma:showField="CatchAllData" ma:web="837d5594-9fb3-4561-af46-15b7bebf62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6fd07f89-c2ec-4e87-a0f2-131d82e37d8d" xsi:nil="true"/>
    <IconOverlay xmlns="http://schemas.microsoft.com/sharepoint/v4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fd07f89-c2ec-4e87-a0f2-131d82e37d8d">
      <Terms xmlns="http://schemas.microsoft.com/office/infopath/2007/PartnerControls"/>
    </lcf76f155ced4ddcb4097134ff3c332f>
    <TaxCatchAll xmlns="837d5594-9fb3-4561-af46-15b7bebf62aa" xsi:nil="true"/>
  </documentManagement>
</p:properties>
</file>

<file path=customXml/itemProps1.xml><?xml version="1.0" encoding="utf-8"?>
<ds:datastoreItem xmlns:ds="http://schemas.openxmlformats.org/officeDocument/2006/customXml" ds:itemID="{9AD1902D-F77E-4D7F-9E1B-96C4BA53B1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DBBD95-0D44-40F1-B9B2-6E2219955E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d07f89-c2ec-4e87-a0f2-131d82e37d8d"/>
    <ds:schemaRef ds:uri="837d5594-9fb3-4561-af46-15b7bebf62a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0E6694-79B1-45AB-BE4E-063F6CA63356}">
  <ds:schemaRefs>
    <ds:schemaRef ds:uri="http://schemas.microsoft.com/office/2006/metadata/properties"/>
    <ds:schemaRef ds:uri="http://schemas.microsoft.com/office/infopath/2007/PartnerControls"/>
    <ds:schemaRef ds:uri="6fd07f89-c2ec-4e87-a0f2-131d82e37d8d"/>
    <ds:schemaRef ds:uri="http://schemas.microsoft.com/sharepoint/v4"/>
    <ds:schemaRef ds:uri="http://schemas.microsoft.com/sharepoint/v3"/>
    <ds:schemaRef ds:uri="837d5594-9fb3-4561-af46-15b7bebf62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33</vt:i4>
      </vt:variant>
    </vt:vector>
  </HeadingPairs>
  <TitlesOfParts>
    <vt:vector size="57" baseType="lpstr">
      <vt:lpstr>Block Builder</vt:lpstr>
      <vt:lpstr>List</vt:lpstr>
      <vt:lpstr>Use Allocation</vt:lpstr>
      <vt:lpstr>Summary</vt:lpstr>
      <vt:lpstr>Costs</vt:lpstr>
      <vt:lpstr>Market</vt:lpstr>
      <vt:lpstr>Value</vt:lpstr>
      <vt:lpstr>City Revenue</vt:lpstr>
      <vt:lpstr>Jobs</vt:lpstr>
      <vt:lpstr>Scorecard</vt:lpstr>
      <vt:lpstr>=&gt;&gt;</vt:lpstr>
      <vt:lpstr>Model</vt:lpstr>
      <vt:lpstr>Building Summary</vt:lpstr>
      <vt:lpstr>Data Sheet</vt:lpstr>
      <vt:lpstr>Financial Analyst</vt:lpstr>
      <vt:lpstr>EXISTING BUILDINGS</vt:lpstr>
      <vt:lpstr>OPEN SPACE</vt:lpstr>
      <vt:lpstr>NEW BUILDINGS</vt:lpstr>
      <vt:lpstr>Demand Jobs</vt:lpstr>
      <vt:lpstr>FRP</vt:lpstr>
      <vt:lpstr>Site Plan</vt:lpstr>
      <vt:lpstr>Financial Data</vt:lpstr>
      <vt:lpstr>POWER POINT</vt:lpstr>
      <vt:lpstr>PSF</vt:lpstr>
      <vt:lpstr>'Block Builder'!Print_Area</vt:lpstr>
      <vt:lpstr>'Building Summary'!Print_Area</vt:lpstr>
      <vt:lpstr>'City Revenue'!Print_Area</vt:lpstr>
      <vt:lpstr>Costs!Print_Area</vt:lpstr>
      <vt:lpstr>Jobs!Print_Area</vt:lpstr>
      <vt:lpstr>Market!Print_Area</vt:lpstr>
      <vt:lpstr>Model!Print_Area</vt:lpstr>
      <vt:lpstr>Summary!Print_Area</vt:lpstr>
      <vt:lpstr>'Use Allocation'!Print_Area</vt:lpstr>
      <vt:lpstr>Value!Print_Area</vt:lpstr>
      <vt:lpstr>'Block Builder'!Print_Titles</vt:lpstr>
      <vt:lpstr>'Building Summary'!Print_Titles</vt:lpstr>
      <vt:lpstr>Model!Print_Titles</vt:lpstr>
      <vt:lpstr>ProtectBlockBuilder</vt:lpstr>
      <vt:lpstr>ProtectSummary</vt:lpstr>
      <vt:lpstr>ProtectUseAllocation</vt:lpstr>
      <vt:lpstr>sBuilding</vt:lpstr>
      <vt:lpstr>sBuilding_Cost</vt:lpstr>
      <vt:lpstr>sCommunity_Commercial_SF</vt:lpstr>
      <vt:lpstr>sCommunitySF</vt:lpstr>
      <vt:lpstr>sOfficeSF</vt:lpstr>
      <vt:lpstr>sOpenSpace</vt:lpstr>
      <vt:lpstr>sParking_Footprint</vt:lpstr>
      <vt:lpstr>sParking_Structured</vt:lpstr>
      <vt:lpstr>sParking_Subterranean</vt:lpstr>
      <vt:lpstr>sParking_Surface</vt:lpstr>
      <vt:lpstr>sParking_TotalUnits</vt:lpstr>
      <vt:lpstr>sParkingSF</vt:lpstr>
      <vt:lpstr>sResiSF</vt:lpstr>
      <vt:lpstr>sResiUnitCount</vt:lpstr>
      <vt:lpstr>sRetailSF</vt:lpstr>
      <vt:lpstr>sShelter_SF</vt:lpstr>
      <vt:lpstr>TotalSiteArea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Thornton</dc:creator>
  <cp:keywords/>
  <dc:description/>
  <cp:lastModifiedBy>Kersten, Rachel</cp:lastModifiedBy>
  <cp:revision/>
  <dcterms:created xsi:type="dcterms:W3CDTF">2021-07-06T22:01:44Z</dcterms:created>
  <dcterms:modified xsi:type="dcterms:W3CDTF">2026-04-25T00:05:22Z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0x010100F09894908A4F674799999C4A2674B4A6</vt:lpwstr>
  </property>
  <property fmtid="{D5CDD505-2E9C-101B-9397-08002B2CF9AE}" pid="3" name="MSIP_Label_70388465-aeed-4329-a493-dfb4cee22503_Enabled">
    <vt:lpwstr>true</vt:lpwstr>
  </property>
  <property fmtid="{D5CDD505-2E9C-101B-9397-08002B2CF9AE}" pid="4" name="MSIP_Label_70388465-aeed-4329-a493-dfb4cee22503_SetDate">
    <vt:lpwstr>2022-12-05T18:21:34Z</vt:lpwstr>
  </property>
  <property fmtid="{D5CDD505-2E9C-101B-9397-08002B2CF9AE}" pid="5" name="MSIP_Label_70388465-aeed-4329-a493-dfb4cee22503_Method">
    <vt:lpwstr>Standard</vt:lpwstr>
  </property>
  <property fmtid="{D5CDD505-2E9C-101B-9397-08002B2CF9AE}" pid="6" name="MSIP_Label_70388465-aeed-4329-a493-dfb4cee22503_Name">
    <vt:lpwstr>defa4170-0d19-0005-0004-bc88714345d2</vt:lpwstr>
  </property>
  <property fmtid="{D5CDD505-2E9C-101B-9397-08002B2CF9AE}" pid="7" name="MSIP_Label_70388465-aeed-4329-a493-dfb4cee22503_SiteId">
    <vt:lpwstr>c733f279-2e57-447e-b549-b435d7bcf45e</vt:lpwstr>
  </property>
  <property fmtid="{D5CDD505-2E9C-101B-9397-08002B2CF9AE}" pid="8" name="MSIP_Label_70388465-aeed-4329-a493-dfb4cee22503_ActionId">
    <vt:lpwstr>f58191bd-3985-433d-bcc8-284d04d3d465</vt:lpwstr>
  </property>
  <property fmtid="{D5CDD505-2E9C-101B-9397-08002B2CF9AE}" pid="9" name="MSIP_Label_70388465-aeed-4329-a493-dfb4cee22503_ContentBits">
    <vt:lpwstr>0</vt:lpwstr>
  </property>
  <property fmtid="{D5CDD505-2E9C-101B-9397-08002B2CF9AE}" pid="10" name="MediaServiceImageTags">
    <vt:lpwstr/>
  </property>
</Properties>
</file>