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rache/Desktop/"/>
    </mc:Choice>
  </mc:AlternateContent>
  <xr:revisionPtr revIDLastSave="0" documentId="8_{6DA4E7AC-041B-AB4C-8A3F-8225C04273D8}" xr6:coauthVersionLast="47" xr6:coauthVersionMax="47" xr10:uidLastSave="{00000000-0000-0000-0000-000000000000}"/>
  <bookViews>
    <workbookView xWindow="180" yWindow="700" windowWidth="34200" windowHeight="19580" tabRatio="601" activeTab="2" xr2:uid="{00000000-000D-0000-FFFF-FFFF00000000}"/>
  </bookViews>
  <sheets>
    <sheet name="Assumptions" sheetId="2" r:id="rId1"/>
    <sheet name="Sales Proceeds" sheetId="3" r:id="rId2"/>
    <sheet name="Cash Flow" sheetId="4" r:id="rId3"/>
    <sheet name="Debt Schedule" sheetId="5" r:id="rId4"/>
  </sheets>
  <definedNames>
    <definedName name="_xlnm.Print_Titles" localSheetId="2">'Cash Flow'!$A:$D</definedName>
    <definedName name="_xlnm.Print_Titles" localSheetId="1">'Sales Proceeds'!$A:$D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7" i="4" l="1"/>
  <c r="BA65" i="4"/>
  <c r="AZ65" i="4"/>
  <c r="AY65" i="4"/>
  <c r="AX65" i="4"/>
  <c r="AW65" i="4"/>
  <c r="AV65" i="4"/>
  <c r="AU65" i="4"/>
  <c r="AT65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H62" i="4"/>
  <c r="I62" i="4"/>
  <c r="J62" i="4"/>
  <c r="K62" i="4"/>
  <c r="L62" i="4"/>
  <c r="M62" i="4"/>
  <c r="N62" i="4"/>
  <c r="O62" i="4"/>
  <c r="P62" i="4"/>
  <c r="Q62" i="4"/>
  <c r="R62" i="4"/>
  <c r="S62" i="4"/>
  <c r="T62" i="4"/>
  <c r="U62" i="4"/>
  <c r="V62" i="4"/>
  <c r="W62" i="4"/>
  <c r="X62" i="4"/>
  <c r="Y62" i="4"/>
  <c r="Z62" i="4"/>
  <c r="AA62" i="4"/>
  <c r="AB62" i="4"/>
  <c r="AC62" i="4"/>
  <c r="AD62" i="4"/>
  <c r="AE62" i="4"/>
  <c r="AF62" i="4"/>
  <c r="AG62" i="4"/>
  <c r="AH62" i="4"/>
  <c r="AI62" i="4"/>
  <c r="AJ62" i="4"/>
  <c r="AK62" i="4"/>
  <c r="AL62" i="4"/>
  <c r="AM62" i="4"/>
  <c r="AN62" i="4"/>
  <c r="AO62" i="4"/>
  <c r="AP62" i="4"/>
  <c r="AQ62" i="4"/>
  <c r="AR62" i="4"/>
  <c r="AS62" i="4"/>
  <c r="AT62" i="4"/>
  <c r="AU62" i="4"/>
  <c r="AV62" i="4"/>
  <c r="AW62" i="4"/>
  <c r="AX62" i="4"/>
  <c r="AY62" i="4"/>
  <c r="AZ62" i="4"/>
  <c r="BA62" i="4"/>
  <c r="G62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V61" i="4"/>
  <c r="W61" i="4"/>
  <c r="X61" i="4"/>
  <c r="Y61" i="4"/>
  <c r="Z61" i="4"/>
  <c r="AA61" i="4"/>
  <c r="AB61" i="4"/>
  <c r="AC61" i="4"/>
  <c r="AD61" i="4"/>
  <c r="AE61" i="4"/>
  <c r="AF61" i="4"/>
  <c r="AG61" i="4"/>
  <c r="AH61" i="4"/>
  <c r="AI61" i="4"/>
  <c r="AJ61" i="4"/>
  <c r="AK61" i="4"/>
  <c r="AL61" i="4"/>
  <c r="AM61" i="4"/>
  <c r="AN61" i="4"/>
  <c r="AO61" i="4"/>
  <c r="AP61" i="4"/>
  <c r="AQ61" i="4"/>
  <c r="AR61" i="4"/>
  <c r="AS61" i="4"/>
  <c r="AT61" i="4"/>
  <c r="AU61" i="4"/>
  <c r="AV61" i="4"/>
  <c r="AW61" i="4"/>
  <c r="AX61" i="4"/>
  <c r="AY61" i="4"/>
  <c r="AZ61" i="4"/>
  <c r="BA61" i="4"/>
  <c r="G61" i="4"/>
  <c r="G60" i="4"/>
  <c r="F63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Y56" i="4"/>
  <c r="Z56" i="4"/>
  <c r="AA56" i="4"/>
  <c r="AB56" i="4"/>
  <c r="AC56" i="4"/>
  <c r="AD56" i="4"/>
  <c r="AE56" i="4"/>
  <c r="AF56" i="4"/>
  <c r="AG56" i="4"/>
  <c r="AH56" i="4"/>
  <c r="AI56" i="4"/>
  <c r="AJ56" i="4"/>
  <c r="AK56" i="4"/>
  <c r="AL56" i="4"/>
  <c r="AM56" i="4"/>
  <c r="AN56" i="4"/>
  <c r="AO56" i="4"/>
  <c r="AP56" i="4"/>
  <c r="AQ56" i="4"/>
  <c r="AR56" i="4"/>
  <c r="AS56" i="4"/>
  <c r="AT56" i="4"/>
  <c r="AU56" i="4"/>
  <c r="AV56" i="4"/>
  <c r="AW56" i="4"/>
  <c r="AX56" i="4"/>
  <c r="AY56" i="4"/>
  <c r="AZ56" i="4"/>
  <c r="BA56" i="4"/>
  <c r="G56" i="4"/>
  <c r="AW55" i="4"/>
  <c r="AX55" i="4"/>
  <c r="AY55" i="4"/>
  <c r="AZ55" i="4"/>
  <c r="BA55" i="4"/>
  <c r="G55" i="4"/>
  <c r="F13" i="2"/>
  <c r="D13" i="2"/>
  <c r="B13" i="2"/>
  <c r="BA39" i="4"/>
  <c r="M30" i="4"/>
  <c r="N30" i="4"/>
  <c r="O30" i="4"/>
  <c r="P30" i="4"/>
  <c r="Q30" i="4"/>
  <c r="R30" i="4"/>
  <c r="AD35" i="4"/>
  <c r="L26" i="4"/>
  <c r="AW18" i="4" l="1"/>
  <c r="AX18" i="4"/>
  <c r="AY18" i="4"/>
  <c r="AZ18" i="4"/>
  <c r="BA18" i="4"/>
  <c r="AW23" i="4"/>
  <c r="AX23" i="4"/>
  <c r="AY23" i="4"/>
  <c r="AZ23" i="4"/>
  <c r="AZ8" i="5" s="1"/>
  <c r="BA23" i="4"/>
  <c r="BA8" i="5" s="1"/>
  <c r="AW36" i="4"/>
  <c r="AX36" i="4"/>
  <c r="AY36" i="4"/>
  <c r="AZ36" i="4"/>
  <c r="BA36" i="4"/>
  <c r="J8" i="4"/>
  <c r="K13" i="2"/>
  <c r="BA38" i="4" s="1"/>
  <c r="C38" i="4" s="1"/>
  <c r="J13" i="2"/>
  <c r="K10" i="2"/>
  <c r="J7" i="2"/>
  <c r="I7" i="2"/>
  <c r="J6" i="2"/>
  <c r="I6" i="2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F43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X42" i="4"/>
  <c r="AY42" i="4"/>
  <c r="AZ42" i="4"/>
  <c r="BA42" i="4"/>
  <c r="F42" i="4"/>
  <c r="G11" i="4"/>
  <c r="H11" i="4"/>
  <c r="I11" i="4"/>
  <c r="J11" i="4"/>
  <c r="K11" i="4"/>
  <c r="K13" i="4" s="1"/>
  <c r="F11" i="4"/>
  <c r="G6" i="5"/>
  <c r="G44" i="4"/>
  <c r="F44" i="4"/>
  <c r="AE15" i="5"/>
  <c r="AF15" i="5"/>
  <c r="AG15" i="5"/>
  <c r="AH15" i="5"/>
  <c r="AI15" i="5"/>
  <c r="AJ15" i="5"/>
  <c r="AK15" i="5"/>
  <c r="AL15" i="5"/>
  <c r="AM15" i="5"/>
  <c r="AN15" i="5"/>
  <c r="AO15" i="5"/>
  <c r="AP15" i="5"/>
  <c r="AQ15" i="5"/>
  <c r="AR15" i="5"/>
  <c r="AS15" i="5"/>
  <c r="AT15" i="5"/>
  <c r="AU15" i="5"/>
  <c r="AV15" i="5"/>
  <c r="AW15" i="5"/>
  <c r="AX15" i="5"/>
  <c r="AY15" i="5"/>
  <c r="AZ15" i="5"/>
  <c r="BA15" i="5"/>
  <c r="AD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G15" i="5"/>
  <c r="H15" i="5"/>
  <c r="I15" i="5"/>
  <c r="J15" i="5"/>
  <c r="K15" i="5"/>
  <c r="F15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AO11" i="5"/>
  <c r="AP11" i="5"/>
  <c r="AQ11" i="5"/>
  <c r="AS11" i="5"/>
  <c r="AT11" i="5"/>
  <c r="AV11" i="5"/>
  <c r="AW11" i="5"/>
  <c r="AY11" i="5"/>
  <c r="AZ11" i="5"/>
  <c r="F11" i="5"/>
  <c r="C3" i="5"/>
  <c r="G10" i="5"/>
  <c r="F10" i="5"/>
  <c r="C39" i="4"/>
  <c r="G9" i="5"/>
  <c r="H9" i="5"/>
  <c r="I9" i="5"/>
  <c r="J9" i="5"/>
  <c r="K9" i="5"/>
  <c r="S9" i="5"/>
  <c r="T9" i="5"/>
  <c r="U9" i="5"/>
  <c r="V9" i="5"/>
  <c r="W9" i="5"/>
  <c r="X9" i="5"/>
  <c r="Y9" i="5"/>
  <c r="Z9" i="5"/>
  <c r="AA9" i="5"/>
  <c r="AB9" i="5"/>
  <c r="AC9" i="5"/>
  <c r="AE9" i="5"/>
  <c r="AF9" i="5"/>
  <c r="AG9" i="5"/>
  <c r="AH9" i="5"/>
  <c r="AI9" i="5"/>
  <c r="AJ9" i="5"/>
  <c r="AK9" i="5"/>
  <c r="AL9" i="5"/>
  <c r="AM9" i="5"/>
  <c r="AN9" i="5"/>
  <c r="AO9" i="5"/>
  <c r="F9" i="5"/>
  <c r="C12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AM8" i="5"/>
  <c r="AN8" i="5"/>
  <c r="AO8" i="5"/>
  <c r="AP8" i="5"/>
  <c r="AQ8" i="5"/>
  <c r="AR8" i="5"/>
  <c r="AS8" i="5"/>
  <c r="AT8" i="5"/>
  <c r="AU8" i="5"/>
  <c r="AV8" i="5"/>
  <c r="AW8" i="5"/>
  <c r="AX8" i="5"/>
  <c r="AY8" i="5"/>
  <c r="F8" i="5"/>
  <c r="AP35" i="4"/>
  <c r="R35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M33" i="4"/>
  <c r="BA32" i="4"/>
  <c r="G31" i="4"/>
  <c r="H31" i="4"/>
  <c r="I31" i="4"/>
  <c r="C31" i="4" s="1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F31" i="4"/>
  <c r="L34" i="4"/>
  <c r="L29" i="4"/>
  <c r="L28" i="4"/>
  <c r="L27" i="4"/>
  <c r="N21" i="4"/>
  <c r="O21" i="4"/>
  <c r="P21" i="4"/>
  <c r="Q21" i="4"/>
  <c r="R21" i="4"/>
  <c r="M21" i="4"/>
  <c r="L17" i="4"/>
  <c r="J17" i="4"/>
  <c r="G13" i="4"/>
  <c r="H13" i="4"/>
  <c r="I13" i="4"/>
  <c r="F13" i="4"/>
  <c r="C26" i="4"/>
  <c r="C27" i="4"/>
  <c r="C28" i="4"/>
  <c r="C29" i="4"/>
  <c r="C30" i="4"/>
  <c r="C32" i="4"/>
  <c r="C33" i="4"/>
  <c r="C34" i="4"/>
  <c r="C35" i="4"/>
  <c r="C22" i="4"/>
  <c r="C20" i="4"/>
  <c r="C17" i="4"/>
  <c r="C7" i="4"/>
  <c r="C6" i="4"/>
  <c r="C5" i="4"/>
  <c r="AV9" i="4"/>
  <c r="AW9" i="4"/>
  <c r="AX9" i="4"/>
  <c r="AY9" i="4"/>
  <c r="AZ9" i="4"/>
  <c r="BA9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AV5" i="4"/>
  <c r="AW5" i="4"/>
  <c r="AX5" i="4"/>
  <c r="AY5" i="4"/>
  <c r="AZ5" i="4"/>
  <c r="BA5" i="4"/>
  <c r="F5" i="4"/>
  <c r="C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V11" i="3"/>
  <c r="AV12" i="3" s="1"/>
  <c r="AW11" i="3"/>
  <c r="AX11" i="3"/>
  <c r="AY11" i="3"/>
  <c r="AZ11" i="3"/>
  <c r="AZ12" i="3" s="1"/>
  <c r="BA11" i="3"/>
  <c r="BA12" i="3" s="1"/>
  <c r="AD11" i="3"/>
  <c r="AE11" i="3"/>
  <c r="AF11" i="3"/>
  <c r="AC11" i="3"/>
  <c r="Z11" i="3"/>
  <c r="W11" i="3"/>
  <c r="W9" i="3"/>
  <c r="X9" i="3" s="1"/>
  <c r="Y9" i="3" s="1"/>
  <c r="Z9" i="3" s="1"/>
  <c r="AA9" i="3" s="1"/>
  <c r="AB9" i="3" s="1"/>
  <c r="AC9" i="3" s="1"/>
  <c r="AD9" i="3" s="1"/>
  <c r="AE9" i="3" s="1"/>
  <c r="AF9" i="3" s="1"/>
  <c r="AG9" i="3" s="1"/>
  <c r="AH9" i="3" s="1"/>
  <c r="AI9" i="3" s="1"/>
  <c r="AJ9" i="3" s="1"/>
  <c r="AK9" i="3" s="1"/>
  <c r="AL9" i="3" s="1"/>
  <c r="AM9" i="3" s="1"/>
  <c r="AN9" i="3" s="1"/>
  <c r="AO9" i="3" s="1"/>
  <c r="AP9" i="3" s="1"/>
  <c r="AQ9" i="3" s="1"/>
  <c r="AR9" i="3" s="1"/>
  <c r="AS9" i="3" s="1"/>
  <c r="AT9" i="3" s="1"/>
  <c r="AU9" i="3" s="1"/>
  <c r="AV9" i="3" s="1"/>
  <c r="AW9" i="3" s="1"/>
  <c r="AX9" i="3" s="1"/>
  <c r="AY9" i="3" s="1"/>
  <c r="AZ9" i="3" s="1"/>
  <c r="BA9" i="3" s="1"/>
  <c r="V9" i="3"/>
  <c r="AW12" i="3"/>
  <c r="AX12" i="3"/>
  <c r="AY12" i="3"/>
  <c r="AY10" i="3"/>
  <c r="AZ10" i="3"/>
  <c r="BA10" i="3"/>
  <c r="C10" i="3"/>
  <c r="C6" i="3"/>
  <c r="AX6" i="3"/>
  <c r="AX10" i="3" s="1"/>
  <c r="AU6" i="3"/>
  <c r="AU10" i="3" s="1"/>
  <c r="AR6" i="3"/>
  <c r="AR10" i="3" s="1"/>
  <c r="AO6" i="3"/>
  <c r="AO10" i="3" s="1"/>
  <c r="AL6" i="3"/>
  <c r="AI6" i="3"/>
  <c r="AF6" i="3"/>
  <c r="AF10" i="3" s="1"/>
  <c r="AC6" i="3"/>
  <c r="AC10" i="3" s="1"/>
  <c r="Z6" i="3"/>
  <c r="W6" i="3"/>
  <c r="W10" i="3" s="1"/>
  <c r="AB10" i="3"/>
  <c r="AE10" i="3"/>
  <c r="AK10" i="3"/>
  <c r="Z10" i="3"/>
  <c r="AA10" i="3"/>
  <c r="AI10" i="3"/>
  <c r="AJ10" i="3"/>
  <c r="AQ10" i="3"/>
  <c r="T6" i="3"/>
  <c r="T10" i="3" s="1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U10" i="3"/>
  <c r="V10" i="3"/>
  <c r="X10" i="3"/>
  <c r="Y10" i="3"/>
  <c r="AD10" i="3"/>
  <c r="AG10" i="3"/>
  <c r="AH10" i="3"/>
  <c r="AL10" i="3"/>
  <c r="AM10" i="3"/>
  <c r="AN10" i="3"/>
  <c r="AP10" i="3"/>
  <c r="AS10" i="3"/>
  <c r="AT10" i="3"/>
  <c r="AV10" i="3"/>
  <c r="AW10" i="3"/>
  <c r="F10" i="3"/>
  <c r="H7" i="3"/>
  <c r="I7" i="3" s="1"/>
  <c r="J7" i="3" s="1"/>
  <c r="K7" i="3" s="1"/>
  <c r="L7" i="3" s="1"/>
  <c r="M7" i="3" s="1"/>
  <c r="N7" i="3" s="1"/>
  <c r="O7" i="3" s="1"/>
  <c r="P7" i="3" s="1"/>
  <c r="Q7" i="3" s="1"/>
  <c r="R7" i="3" s="1"/>
  <c r="S7" i="3" s="1"/>
  <c r="G7" i="3"/>
  <c r="G37" i="2"/>
  <c r="G35" i="2"/>
  <c r="G34" i="2"/>
  <c r="G33" i="2"/>
  <c r="G32" i="2"/>
  <c r="E7" i="2"/>
  <c r="D7" i="2"/>
  <c r="C7" i="2"/>
  <c r="A2" i="3"/>
  <c r="AV5" i="5"/>
  <c r="L8" i="4" l="1"/>
  <c r="C8" i="4" s="1"/>
  <c r="L7" i="5"/>
  <c r="C43" i="4"/>
  <c r="C8" i="5"/>
  <c r="C42" i="4"/>
  <c r="C11" i="5"/>
  <c r="C21" i="4"/>
  <c r="T7" i="3"/>
  <c r="U7" i="3" s="1"/>
  <c r="V7" i="3" s="1"/>
  <c r="W7" i="3" s="1"/>
  <c r="X7" i="3" s="1"/>
  <c r="Y7" i="3" s="1"/>
  <c r="Z7" i="3" s="1"/>
  <c r="AA7" i="3" s="1"/>
  <c r="AB7" i="3" s="1"/>
  <c r="AC7" i="3" s="1"/>
  <c r="AD7" i="3" s="1"/>
  <c r="AE7" i="3" s="1"/>
  <c r="AF7" i="3" s="1"/>
  <c r="AG7" i="3" s="1"/>
  <c r="AH7" i="3" s="1"/>
  <c r="AI7" i="3" s="1"/>
  <c r="AJ7" i="3" s="1"/>
  <c r="AK7" i="3" s="1"/>
  <c r="AL7" i="3" s="1"/>
  <c r="AM7" i="3" s="1"/>
  <c r="AN7" i="3" s="1"/>
  <c r="AO7" i="3" s="1"/>
  <c r="AP7" i="3" s="1"/>
  <c r="AQ7" i="3" s="1"/>
  <c r="AR7" i="3" s="1"/>
  <c r="AS7" i="3" s="1"/>
  <c r="AT7" i="3" s="1"/>
  <c r="AU7" i="3" s="1"/>
  <c r="AV7" i="3" s="1"/>
  <c r="AW7" i="3" s="1"/>
  <c r="AX7" i="3" s="1"/>
  <c r="AV23" i="4" l="1"/>
  <c r="AV18" i="4"/>
  <c r="AV36" i="4" l="1"/>
  <c r="K6" i="2" l="1"/>
  <c r="F13" i="5" l="1"/>
  <c r="G16" i="5" s="1"/>
  <c r="A2" i="5" l="1"/>
  <c r="A3" i="4"/>
  <c r="F5" i="5"/>
  <c r="G5" i="5"/>
  <c r="J12" i="3" l="1"/>
  <c r="O12" i="3"/>
  <c r="P12" i="3"/>
  <c r="Q12" i="3"/>
  <c r="F12" i="3"/>
  <c r="G12" i="3"/>
  <c r="H5" i="5" l="1"/>
  <c r="H12" i="3"/>
  <c r="N12" i="3"/>
  <c r="K12" i="3"/>
  <c r="L12" i="3"/>
  <c r="I12" i="3"/>
  <c r="M12" i="3"/>
  <c r="M9" i="4" l="1"/>
  <c r="K9" i="4"/>
  <c r="N9" i="4"/>
  <c r="I5" i="5"/>
  <c r="F45" i="4"/>
  <c r="W36" i="4"/>
  <c r="X36" i="4"/>
  <c r="AE36" i="4"/>
  <c r="AF36" i="4"/>
  <c r="AN36" i="4"/>
  <c r="AB36" i="4"/>
  <c r="AC36" i="4"/>
  <c r="AI36" i="4"/>
  <c r="AJ36" i="4"/>
  <c r="AK36" i="4"/>
  <c r="AR36" i="4"/>
  <c r="AS36" i="4"/>
  <c r="U36" i="4"/>
  <c r="N36" i="4"/>
  <c r="N9" i="5" s="1"/>
  <c r="L18" i="4"/>
  <c r="G36" i="4"/>
  <c r="H36" i="4"/>
  <c r="I36" i="4"/>
  <c r="J36" i="4"/>
  <c r="K36" i="4"/>
  <c r="O36" i="4"/>
  <c r="O9" i="5" s="1"/>
  <c r="AM36" i="4"/>
  <c r="F36" i="4"/>
  <c r="G23" i="4"/>
  <c r="H23" i="4"/>
  <c r="I23" i="4"/>
  <c r="J23" i="4"/>
  <c r="K23" i="4"/>
  <c r="L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F23" i="4"/>
  <c r="G18" i="4"/>
  <c r="H18" i="4"/>
  <c r="I18" i="4"/>
  <c r="J18" i="4"/>
  <c r="K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F18" i="4"/>
  <c r="G9" i="4"/>
  <c r="H9" i="4"/>
  <c r="I9" i="4"/>
  <c r="J9" i="4"/>
  <c r="O9" i="4"/>
  <c r="P9" i="4"/>
  <c r="Q9" i="4"/>
  <c r="F9" i="4"/>
  <c r="J13" i="4" l="1"/>
  <c r="C18" i="4"/>
  <c r="J5" i="5"/>
  <c r="AT36" i="4"/>
  <c r="AU36" i="4"/>
  <c r="AO36" i="4"/>
  <c r="AG36" i="4"/>
  <c r="Y36" i="4"/>
  <c r="Q36" i="4"/>
  <c r="Q9" i="5" s="1"/>
  <c r="T36" i="4"/>
  <c r="M36" i="4"/>
  <c r="M9" i="5" s="1"/>
  <c r="P36" i="4"/>
  <c r="P9" i="5" s="1"/>
  <c r="AL36" i="4"/>
  <c r="V36" i="4"/>
  <c r="AH36" i="4"/>
  <c r="Z36" i="4"/>
  <c r="AQ36" i="4"/>
  <c r="AA36" i="4"/>
  <c r="S36" i="4"/>
  <c r="L36" i="4"/>
  <c r="L9" i="5" s="1"/>
  <c r="F47" i="4"/>
  <c r="R36" i="4"/>
  <c r="R9" i="5" s="1"/>
  <c r="L11" i="4" l="1"/>
  <c r="F49" i="4"/>
  <c r="K5" i="5"/>
  <c r="G45" i="4"/>
  <c r="V12" i="3"/>
  <c r="W12" i="3"/>
  <c r="X12" i="3"/>
  <c r="Y12" i="3"/>
  <c r="AA12" i="3"/>
  <c r="AB12" i="3"/>
  <c r="AC12" i="3"/>
  <c r="AE12" i="3"/>
  <c r="AG12" i="3"/>
  <c r="AH12" i="3"/>
  <c r="AI12" i="3"/>
  <c r="AK12" i="3"/>
  <c r="AL12" i="3"/>
  <c r="AN12" i="3"/>
  <c r="AO12" i="3"/>
  <c r="AP12" i="3"/>
  <c r="AS12" i="3"/>
  <c r="AT12" i="3"/>
  <c r="G47" i="4" l="1"/>
  <c r="AK9" i="4"/>
  <c r="W9" i="4"/>
  <c r="AI9" i="4"/>
  <c r="V9" i="4"/>
  <c r="AH9" i="4"/>
  <c r="AG9" i="4"/>
  <c r="AT9" i="4"/>
  <c r="AE9" i="4"/>
  <c r="AS9" i="4"/>
  <c r="AC9" i="4"/>
  <c r="AP9" i="4"/>
  <c r="AB9" i="4"/>
  <c r="AO9" i="4"/>
  <c r="AA9" i="4"/>
  <c r="AN9" i="4"/>
  <c r="AL9" i="4"/>
  <c r="X9" i="4"/>
  <c r="L5" i="5"/>
  <c r="AJ12" i="3"/>
  <c r="AR12" i="3"/>
  <c r="Z12" i="3"/>
  <c r="AF12" i="3"/>
  <c r="AM12" i="3"/>
  <c r="AQ12" i="3"/>
  <c r="R12" i="3"/>
  <c r="AD12" i="3"/>
  <c r="T12" i="3"/>
  <c r="AU12" i="3"/>
  <c r="S12" i="3"/>
  <c r="G49" i="4"/>
  <c r="G13" i="5"/>
  <c r="Y9" i="4"/>
  <c r="U12" i="3"/>
  <c r="D8" i="2"/>
  <c r="F57" i="4"/>
  <c r="H16" i="5" l="1"/>
  <c r="H44" i="4" s="1"/>
  <c r="H10" i="5" s="1"/>
  <c r="H6" i="5"/>
  <c r="C12" i="3"/>
  <c r="G57" i="4"/>
  <c r="H55" i="4" s="1"/>
  <c r="AQ9" i="4"/>
  <c r="AM9" i="4"/>
  <c r="AF9" i="4"/>
  <c r="Z9" i="4"/>
  <c r="S9" i="4"/>
  <c r="AR9" i="4"/>
  <c r="AU9" i="4"/>
  <c r="AJ9" i="4"/>
  <c r="T9" i="4"/>
  <c r="AD9" i="4"/>
  <c r="M5" i="5"/>
  <c r="E8" i="2"/>
  <c r="P23" i="4"/>
  <c r="O23" i="4"/>
  <c r="N23" i="4"/>
  <c r="G63" i="4"/>
  <c r="H60" i="4" s="1"/>
  <c r="H63" i="4" l="1"/>
  <c r="R9" i="4"/>
  <c r="H13" i="5"/>
  <c r="K7" i="2"/>
  <c r="N5" i="5"/>
  <c r="H45" i="4"/>
  <c r="M23" i="4"/>
  <c r="C23" i="4" s="1"/>
  <c r="Q23" i="4"/>
  <c r="R23" i="4"/>
  <c r="F8" i="2"/>
  <c r="I60" i="4" l="1"/>
  <c r="I63" i="4" s="1"/>
  <c r="J60" i="4" s="1"/>
  <c r="J63" i="4" s="1"/>
  <c r="K60" i="4" s="1"/>
  <c r="I16" i="5"/>
  <c r="I44" i="4" s="1"/>
  <c r="I10" i="5" s="1"/>
  <c r="I6" i="5"/>
  <c r="H47" i="4"/>
  <c r="AD36" i="4"/>
  <c r="AD9" i="5" s="1"/>
  <c r="C9" i="5" s="1"/>
  <c r="AP36" i="4"/>
  <c r="O5" i="5"/>
  <c r="H49" i="4"/>
  <c r="H57" i="4" s="1"/>
  <c r="I55" i="4" s="1"/>
  <c r="U9" i="4"/>
  <c r="C36" i="4" l="1"/>
  <c r="K63" i="4"/>
  <c r="P5" i="5"/>
  <c r="H51" i="4"/>
  <c r="L60" i="4" l="1"/>
  <c r="L63" i="4" s="1"/>
  <c r="M60" i="4" s="1"/>
  <c r="M63" i="4" s="1"/>
  <c r="N60" i="4" s="1"/>
  <c r="Q5" i="5"/>
  <c r="I45" i="4"/>
  <c r="I13" i="5"/>
  <c r="J16" i="5" l="1"/>
  <c r="J44" i="4" s="1"/>
  <c r="J6" i="5"/>
  <c r="J10" i="5"/>
  <c r="I47" i="4"/>
  <c r="N63" i="4"/>
  <c r="O60" i="4" s="1"/>
  <c r="R5" i="5"/>
  <c r="I49" i="4" l="1"/>
  <c r="I51" i="4" s="1"/>
  <c r="I57" i="4"/>
  <c r="J55" i="4" s="1"/>
  <c r="O63" i="4"/>
  <c r="P60" i="4" s="1"/>
  <c r="S5" i="5"/>
  <c r="J45" i="4"/>
  <c r="J47" i="4" l="1"/>
  <c r="J49" i="4" s="1"/>
  <c r="P63" i="4"/>
  <c r="Q60" i="4" s="1"/>
  <c r="T5" i="5"/>
  <c r="J13" i="5"/>
  <c r="K16" i="5" l="1"/>
  <c r="K44" i="4" s="1"/>
  <c r="K10" i="5" s="1"/>
  <c r="K6" i="5"/>
  <c r="Q63" i="4"/>
  <c r="R60" i="4" s="1"/>
  <c r="U5" i="5"/>
  <c r="J57" i="4"/>
  <c r="K55" i="4" s="1"/>
  <c r="J51" i="4"/>
  <c r="R63" i="4" l="1"/>
  <c r="S60" i="4" s="1"/>
  <c r="V5" i="5"/>
  <c r="K45" i="4"/>
  <c r="K47" i="4" s="1"/>
  <c r="S63" i="4" l="1"/>
  <c r="T60" i="4" s="1"/>
  <c r="W5" i="5"/>
  <c r="K49" i="4"/>
  <c r="K13" i="5"/>
  <c r="L16" i="5" l="1"/>
  <c r="L44" i="4" s="1"/>
  <c r="L10" i="5" s="1"/>
  <c r="L6" i="5"/>
  <c r="K57" i="4"/>
  <c r="L55" i="4" s="1"/>
  <c r="T63" i="4"/>
  <c r="U60" i="4" s="1"/>
  <c r="K51" i="4"/>
  <c r="X5" i="5"/>
  <c r="U63" i="4" l="1"/>
  <c r="V60" i="4" s="1"/>
  <c r="L45" i="4"/>
  <c r="L47" i="4" s="1"/>
  <c r="Y5" i="5"/>
  <c r="V63" i="4" l="1"/>
  <c r="W60" i="4" s="1"/>
  <c r="Z5" i="5"/>
  <c r="W63" i="4" l="1"/>
  <c r="X60" i="4" s="1"/>
  <c r="AA5" i="5"/>
  <c r="X63" i="4" l="1"/>
  <c r="Y60" i="4" s="1"/>
  <c r="AB5" i="5"/>
  <c r="Y63" i="4" l="1"/>
  <c r="Z60" i="4" s="1"/>
  <c r="AC5" i="5"/>
  <c r="Z63" i="4" l="1"/>
  <c r="AA60" i="4" s="1"/>
  <c r="AD5" i="5"/>
  <c r="AA63" i="4" l="1"/>
  <c r="AB60" i="4" s="1"/>
  <c r="AE5" i="5"/>
  <c r="AB63" i="4" l="1"/>
  <c r="AC60" i="4" s="1"/>
  <c r="AF5" i="5"/>
  <c r="AC63" i="4" l="1"/>
  <c r="AD60" i="4" s="1"/>
  <c r="AG5" i="5"/>
  <c r="AD63" i="4" l="1"/>
  <c r="AE60" i="4" s="1"/>
  <c r="AH5" i="5"/>
  <c r="AE63" i="4" l="1"/>
  <c r="AF60" i="4" s="1"/>
  <c r="AI5" i="5"/>
  <c r="AF63" i="4" l="1"/>
  <c r="AG60" i="4" s="1"/>
  <c r="AJ5" i="5"/>
  <c r="AG63" i="4" l="1"/>
  <c r="AH60" i="4" s="1"/>
  <c r="AK5" i="5"/>
  <c r="AH63" i="4" l="1"/>
  <c r="AI60" i="4" s="1"/>
  <c r="AL5" i="5"/>
  <c r="AI63" i="4" l="1"/>
  <c r="AJ60" i="4" s="1"/>
  <c r="AM5" i="5"/>
  <c r="AJ63" i="4" l="1"/>
  <c r="AK60" i="4" s="1"/>
  <c r="AN5" i="5"/>
  <c r="AK63" i="4" l="1"/>
  <c r="AL60" i="4" s="1"/>
  <c r="AO5" i="5"/>
  <c r="AL63" i="4" l="1"/>
  <c r="AM60" i="4" s="1"/>
  <c r="AP5" i="5"/>
  <c r="AM63" i="4" l="1"/>
  <c r="AN60" i="4" s="1"/>
  <c r="AQ5" i="5"/>
  <c r="AN63" i="4" l="1"/>
  <c r="AO60" i="4" s="1"/>
  <c r="AR5" i="5"/>
  <c r="AO63" i="4" l="1"/>
  <c r="AP60" i="4" s="1"/>
  <c r="AS5" i="5"/>
  <c r="AP63" i="4" l="1"/>
  <c r="AQ60" i="4" s="1"/>
  <c r="AT5" i="5"/>
  <c r="AQ63" i="4" l="1"/>
  <c r="AR60" i="4" s="1"/>
  <c r="AU5" i="5"/>
  <c r="AR63" i="4" l="1"/>
  <c r="AS60" i="4" s="1"/>
  <c r="AS63" i="4" l="1"/>
  <c r="AT60" i="4" s="1"/>
  <c r="AT63" i="4" l="1"/>
  <c r="AU60" i="4" l="1"/>
  <c r="AU63" i="4" s="1"/>
  <c r="C7" i="5"/>
  <c r="AV60" i="4" l="1"/>
  <c r="AV63" i="4" s="1"/>
  <c r="AW60" i="4" s="1"/>
  <c r="AW63" i="4" s="1"/>
  <c r="AX60" i="4" s="1"/>
  <c r="AX63" i="4" s="1"/>
  <c r="AY60" i="4" s="1"/>
  <c r="AY63" i="4" s="1"/>
  <c r="AZ60" i="4" s="1"/>
  <c r="AZ63" i="4" s="1"/>
  <c r="BA60" i="4" s="1"/>
  <c r="BA63" i="4" s="1"/>
  <c r="L13" i="5"/>
  <c r="M16" i="5" l="1"/>
  <c r="M44" i="4" s="1"/>
  <c r="M10" i="5" s="1"/>
  <c r="M11" i="4" s="1"/>
  <c r="M6" i="5"/>
  <c r="L9" i="4"/>
  <c r="M13" i="4" l="1"/>
  <c r="L13" i="4"/>
  <c r="C9" i="4"/>
  <c r="M45" i="4"/>
  <c r="L49" i="4" l="1"/>
  <c r="M47" i="4"/>
  <c r="M13" i="5"/>
  <c r="L51" i="4"/>
  <c r="L57" i="4" l="1"/>
  <c r="M55" i="4" s="1"/>
  <c r="N16" i="5"/>
  <c r="N44" i="4" s="1"/>
  <c r="N10" i="5" s="1"/>
  <c r="N11" i="4" s="1"/>
  <c r="N6" i="5"/>
  <c r="M49" i="4"/>
  <c r="M57" i="4" s="1"/>
  <c r="N55" i="4" s="1"/>
  <c r="N13" i="5" l="1"/>
  <c r="O16" i="5" s="1"/>
  <c r="O44" i="4" s="1"/>
  <c r="O10" i="5" s="1"/>
  <c r="O11" i="4" s="1"/>
  <c r="O13" i="4" s="1"/>
  <c r="N13" i="4"/>
  <c r="N45" i="4"/>
  <c r="N47" i="4" s="1"/>
  <c r="M51" i="4"/>
  <c r="O6" i="5" l="1"/>
  <c r="O45" i="4"/>
  <c r="O47" i="4" l="1"/>
  <c r="O13" i="5"/>
  <c r="N49" i="4"/>
  <c r="N57" i="4" l="1"/>
  <c r="O55" i="4" s="1"/>
  <c r="P16" i="5"/>
  <c r="P44" i="4" s="1"/>
  <c r="P10" i="5" s="1"/>
  <c r="P11" i="4" s="1"/>
  <c r="P6" i="5"/>
  <c r="N51" i="4"/>
  <c r="P13" i="4" l="1"/>
  <c r="O49" i="4"/>
  <c r="P45" i="4"/>
  <c r="O51" i="4" l="1"/>
  <c r="O57" i="4"/>
  <c r="P55" i="4" s="1"/>
  <c r="P47" i="4"/>
  <c r="P13" i="5"/>
  <c r="Q16" i="5" l="1"/>
  <c r="Q44" i="4" s="1"/>
  <c r="Q10" i="5" s="1"/>
  <c r="Q11" i="4" s="1"/>
  <c r="Q6" i="5"/>
  <c r="P49" i="4"/>
  <c r="Q13" i="4" l="1"/>
  <c r="P51" i="4"/>
  <c r="P57" i="4"/>
  <c r="Q55" i="4" s="1"/>
  <c r="Q13" i="5"/>
  <c r="Q45" i="4"/>
  <c r="R16" i="5" l="1"/>
  <c r="R44" i="4" s="1"/>
  <c r="R10" i="5" s="1"/>
  <c r="R11" i="4" s="1"/>
  <c r="R13" i="4" s="1"/>
  <c r="R6" i="5"/>
  <c r="Q47" i="4"/>
  <c r="Q49" i="4" l="1"/>
  <c r="R45" i="4"/>
  <c r="R47" i="4" s="1"/>
  <c r="Q51" i="4" l="1"/>
  <c r="Q57" i="4"/>
  <c r="R55" i="4" s="1"/>
  <c r="R13" i="5"/>
  <c r="R49" i="4"/>
  <c r="S16" i="5" l="1"/>
  <c r="S44" i="4" s="1"/>
  <c r="S10" i="5" s="1"/>
  <c r="S11" i="4" s="1"/>
  <c r="S13" i="4" s="1"/>
  <c r="S6" i="5"/>
  <c r="R51" i="4"/>
  <c r="R57" i="4"/>
  <c r="S55" i="4" s="1"/>
  <c r="S45" i="4" l="1"/>
  <c r="S47" i="4" s="1"/>
  <c r="S13" i="5"/>
  <c r="S49" i="4"/>
  <c r="T16" i="5" l="1"/>
  <c r="T44" i="4" s="1"/>
  <c r="T10" i="5" s="1"/>
  <c r="T11" i="4" s="1"/>
  <c r="T13" i="4" s="1"/>
  <c r="T6" i="5"/>
  <c r="S51" i="4"/>
  <c r="S57" i="4"/>
  <c r="T55" i="4" s="1"/>
  <c r="T45" i="4" l="1"/>
  <c r="T47" i="4" s="1"/>
  <c r="T49" i="4" s="1"/>
  <c r="T13" i="5"/>
  <c r="U16" i="5" l="1"/>
  <c r="U44" i="4" s="1"/>
  <c r="U10" i="5" s="1"/>
  <c r="U11" i="4" s="1"/>
  <c r="U13" i="4" s="1"/>
  <c r="U6" i="5"/>
  <c r="T51" i="4"/>
  <c r="T57" i="4"/>
  <c r="U55" i="4" s="1"/>
  <c r="U45" i="4" l="1"/>
  <c r="U47" i="4" s="1"/>
  <c r="U49" i="4" s="1"/>
  <c r="U13" i="5"/>
  <c r="V16" i="5" l="1"/>
  <c r="V44" i="4" s="1"/>
  <c r="V10" i="5" s="1"/>
  <c r="V11" i="4" s="1"/>
  <c r="V13" i="4" s="1"/>
  <c r="V6" i="5"/>
  <c r="U51" i="4"/>
  <c r="U57" i="4"/>
  <c r="V55" i="4" s="1"/>
  <c r="V45" i="4" l="1"/>
  <c r="V47" i="4" s="1"/>
  <c r="V49" i="4" l="1"/>
  <c r="V13" i="5"/>
  <c r="W16" i="5" l="1"/>
  <c r="W44" i="4" s="1"/>
  <c r="W10" i="5" s="1"/>
  <c r="W11" i="4" s="1"/>
  <c r="W13" i="4" s="1"/>
  <c r="W6" i="5"/>
  <c r="V51" i="4"/>
  <c r="V57" i="4"/>
  <c r="W55" i="4" s="1"/>
  <c r="W45" i="4" l="1"/>
  <c r="W47" i="4" s="1"/>
  <c r="W13" i="5" l="1"/>
  <c r="W49" i="4"/>
  <c r="X16" i="5" l="1"/>
  <c r="X44" i="4" s="1"/>
  <c r="X10" i="5" s="1"/>
  <c r="X11" i="4" s="1"/>
  <c r="X13" i="4" s="1"/>
  <c r="X6" i="5"/>
  <c r="W51" i="4"/>
  <c r="W57" i="4"/>
  <c r="X55" i="4" s="1"/>
  <c r="X45" i="4" l="1"/>
  <c r="X47" i="4" s="1"/>
  <c r="X49" i="4" s="1"/>
  <c r="X13" i="5"/>
  <c r="Y16" i="5" l="1"/>
  <c r="Y44" i="4" s="1"/>
  <c r="Y10" i="5" s="1"/>
  <c r="Y11" i="4" s="1"/>
  <c r="Y13" i="4" s="1"/>
  <c r="Y6" i="5"/>
  <c r="X51" i="4"/>
  <c r="X57" i="4"/>
  <c r="Y55" i="4" s="1"/>
  <c r="Y45" i="4" l="1"/>
  <c r="Y47" i="4" s="1"/>
  <c r="Y49" i="4" l="1"/>
  <c r="Y13" i="5"/>
  <c r="Z16" i="5" l="1"/>
  <c r="Z44" i="4" s="1"/>
  <c r="Z10" i="5" s="1"/>
  <c r="Z11" i="4" s="1"/>
  <c r="Z13" i="4" s="1"/>
  <c r="Z6" i="5"/>
  <c r="Y51" i="4"/>
  <c r="Y57" i="4"/>
  <c r="Z55" i="4" s="1"/>
  <c r="Z45" i="4" l="1"/>
  <c r="Z47" i="4" s="1"/>
  <c r="Z49" i="4" s="1"/>
  <c r="Z51" i="4" l="1"/>
  <c r="Z57" i="4"/>
  <c r="AA55" i="4" s="1"/>
  <c r="Z13" i="5"/>
  <c r="AA16" i="5" l="1"/>
  <c r="AA44" i="4" s="1"/>
  <c r="AA10" i="5" s="1"/>
  <c r="AA11" i="4" s="1"/>
  <c r="AA13" i="4" s="1"/>
  <c r="AA6" i="5"/>
  <c r="AA45" i="4" l="1"/>
  <c r="AA47" i="4" s="1"/>
  <c r="AA49" i="4" s="1"/>
  <c r="AA13" i="5"/>
  <c r="AB16" i="5" l="1"/>
  <c r="AB44" i="4" s="1"/>
  <c r="AB10" i="5" s="1"/>
  <c r="AB11" i="4" s="1"/>
  <c r="AB13" i="4" s="1"/>
  <c r="AB6" i="5"/>
  <c r="AA51" i="4"/>
  <c r="AA57" i="4"/>
  <c r="AB55" i="4" s="1"/>
  <c r="AB45" i="4" l="1"/>
  <c r="AB47" i="4" s="1"/>
  <c r="AB49" i="4" s="1"/>
  <c r="AB13" i="5"/>
  <c r="AC16" i="5" l="1"/>
  <c r="AC44" i="4" s="1"/>
  <c r="AC10" i="5" s="1"/>
  <c r="AC11" i="4" s="1"/>
  <c r="AC13" i="4" s="1"/>
  <c r="AC6" i="5"/>
  <c r="AB51" i="4"/>
  <c r="AB57" i="4"/>
  <c r="AC55" i="4" s="1"/>
  <c r="AC45" i="4" l="1"/>
  <c r="AC47" i="4" s="1"/>
  <c r="AC49" i="4" s="1"/>
  <c r="AC13" i="5"/>
  <c r="AD16" i="5" l="1"/>
  <c r="AD44" i="4" s="1"/>
  <c r="AD10" i="5" s="1"/>
  <c r="AD11" i="4" s="1"/>
  <c r="AD13" i="4" s="1"/>
  <c r="AD6" i="5"/>
  <c r="AC51" i="4"/>
  <c r="AC57" i="4"/>
  <c r="AD55" i="4" s="1"/>
  <c r="AD45" i="4" l="1"/>
  <c r="AD47" i="4" s="1"/>
  <c r="AD49" i="4" s="1"/>
  <c r="AD13" i="5"/>
  <c r="AE16" i="5" l="1"/>
  <c r="AE44" i="4" s="1"/>
  <c r="AE10" i="5" s="1"/>
  <c r="AE11" i="4" s="1"/>
  <c r="AE13" i="4" s="1"/>
  <c r="AE6" i="5"/>
  <c r="AD51" i="4"/>
  <c r="AD57" i="4"/>
  <c r="AE55" i="4" s="1"/>
  <c r="AE45" i="4" l="1"/>
  <c r="AE47" i="4" s="1"/>
  <c r="AE13" i="5" l="1"/>
  <c r="AE49" i="4"/>
  <c r="AF16" i="5" l="1"/>
  <c r="AF44" i="4" s="1"/>
  <c r="AF10" i="5" s="1"/>
  <c r="AF11" i="4" s="1"/>
  <c r="AF13" i="4" s="1"/>
  <c r="AF6" i="5"/>
  <c r="AE51" i="4"/>
  <c r="AE57" i="4"/>
  <c r="AF55" i="4" s="1"/>
  <c r="AF45" i="4" l="1"/>
  <c r="AF47" i="4" s="1"/>
  <c r="AF49" i="4" s="1"/>
  <c r="AF13" i="5"/>
  <c r="AG16" i="5" l="1"/>
  <c r="AG44" i="4" s="1"/>
  <c r="AG10" i="5" s="1"/>
  <c r="AG11" i="4" s="1"/>
  <c r="AG13" i="4" s="1"/>
  <c r="AG6" i="5"/>
  <c r="AF51" i="4"/>
  <c r="AF57" i="4"/>
  <c r="AG55" i="4" s="1"/>
  <c r="AG45" i="4" l="1"/>
  <c r="AG47" i="4" s="1"/>
  <c r="AG49" i="4" l="1"/>
  <c r="AG13" i="5"/>
  <c r="AH16" i="5" l="1"/>
  <c r="AH44" i="4" s="1"/>
  <c r="AH10" i="5" s="1"/>
  <c r="AH11" i="4" s="1"/>
  <c r="AH13" i="4" s="1"/>
  <c r="AH6" i="5"/>
  <c r="AG51" i="4"/>
  <c r="AG57" i="4"/>
  <c r="AH55" i="4" s="1"/>
  <c r="AH45" i="4" l="1"/>
  <c r="AH47" i="4" s="1"/>
  <c r="AH49" i="4" l="1"/>
  <c r="AH13" i="5"/>
  <c r="AI16" i="5" l="1"/>
  <c r="AI44" i="4" s="1"/>
  <c r="AI10" i="5" s="1"/>
  <c r="AI11" i="4" s="1"/>
  <c r="AI13" i="4" s="1"/>
  <c r="AI6" i="5"/>
  <c r="AH51" i="4"/>
  <c r="AH57" i="4"/>
  <c r="AI55" i="4" s="1"/>
  <c r="AI45" i="4" l="1"/>
  <c r="AI47" i="4" s="1"/>
  <c r="AI49" i="4" l="1"/>
  <c r="AI51" i="4" s="1"/>
  <c r="AI57" i="4"/>
  <c r="AJ55" i="4" s="1"/>
  <c r="AI13" i="5"/>
  <c r="AJ16" i="5" l="1"/>
  <c r="AJ44" i="4" s="1"/>
  <c r="AJ10" i="5" s="1"/>
  <c r="AJ11" i="4" s="1"/>
  <c r="AJ13" i="4" s="1"/>
  <c r="AJ6" i="5"/>
  <c r="AJ45" i="4" l="1"/>
  <c r="AJ47" i="4" s="1"/>
  <c r="AJ49" i="4" s="1"/>
  <c r="AJ57" i="4" s="1"/>
  <c r="AK55" i="4" s="1"/>
  <c r="AJ13" i="5"/>
  <c r="AK16" i="5" l="1"/>
  <c r="AK44" i="4" s="1"/>
  <c r="AK10" i="5" s="1"/>
  <c r="AK11" i="4" s="1"/>
  <c r="AK13" i="4" s="1"/>
  <c r="AK6" i="5"/>
  <c r="AJ51" i="4"/>
  <c r="AK45" i="4" l="1"/>
  <c r="AK47" i="4" l="1"/>
  <c r="AK13" i="5"/>
  <c r="AL16" i="5" l="1"/>
  <c r="AL44" i="4" s="1"/>
  <c r="AL10" i="5" s="1"/>
  <c r="AL11" i="4" s="1"/>
  <c r="AL13" i="4" s="1"/>
  <c r="AL6" i="5"/>
  <c r="AK49" i="4"/>
  <c r="AK57" i="4" s="1"/>
  <c r="AL55" i="4" s="1"/>
  <c r="AL45" i="4" l="1"/>
  <c r="AL47" i="4" s="1"/>
  <c r="AL49" i="4" s="1"/>
  <c r="AL57" i="4" s="1"/>
  <c r="AM55" i="4" s="1"/>
  <c r="AK51" i="4"/>
  <c r="AL13" i="5"/>
  <c r="AM16" i="5" l="1"/>
  <c r="AM44" i="4" s="1"/>
  <c r="AM10" i="5" s="1"/>
  <c r="AM11" i="4" s="1"/>
  <c r="AM13" i="4" s="1"/>
  <c r="AM6" i="5"/>
  <c r="AL51" i="4"/>
  <c r="AM45" i="4" l="1"/>
  <c r="AM13" i="5" l="1"/>
  <c r="AM47" i="4"/>
  <c r="AN16" i="5" l="1"/>
  <c r="AN44" i="4" s="1"/>
  <c r="AN10" i="5" s="1"/>
  <c r="AN11" i="4" s="1"/>
  <c r="AN13" i="4" s="1"/>
  <c r="AN6" i="5"/>
  <c r="AM49" i="4"/>
  <c r="AM57" i="4" s="1"/>
  <c r="AN55" i="4" s="1"/>
  <c r="AN45" i="4" l="1"/>
  <c r="AN47" i="4" s="1"/>
  <c r="AM51" i="4"/>
  <c r="AN13" i="5"/>
  <c r="AO16" i="5" l="1"/>
  <c r="AO44" i="4" s="1"/>
  <c r="AO10" i="5" s="1"/>
  <c r="AO11" i="4" s="1"/>
  <c r="AO13" i="4" s="1"/>
  <c r="AO6" i="5"/>
  <c r="AN49" i="4"/>
  <c r="AN51" i="4" l="1"/>
  <c r="AN57" i="4"/>
  <c r="AO55" i="4" s="1"/>
  <c r="AO45" i="4"/>
  <c r="AO47" i="4" s="1"/>
  <c r="AO49" i="4" l="1"/>
  <c r="AO57" i="4" s="1"/>
  <c r="AP55" i="4" s="1"/>
  <c r="AO13" i="5"/>
  <c r="AP16" i="5" l="1"/>
  <c r="AP44" i="4" s="1"/>
  <c r="AP11" i="4" s="1"/>
  <c r="AP13" i="4" s="1"/>
  <c r="AP6" i="5"/>
  <c r="AO51" i="4"/>
  <c r="AP45" i="4" l="1"/>
  <c r="AP47" i="4" s="1"/>
  <c r="AP49" i="4" s="1"/>
  <c r="AP51" i="4" l="1"/>
  <c r="AP57" i="4"/>
  <c r="AQ55" i="4" s="1"/>
  <c r="AQ6" i="5"/>
  <c r="AQ16" i="5" l="1"/>
  <c r="AQ44" i="4" s="1"/>
  <c r="AQ13" i="5" l="1"/>
  <c r="AR16" i="5" s="1"/>
  <c r="AR44" i="4" s="1"/>
  <c r="AR11" i="4" s="1"/>
  <c r="AR13" i="4" s="1"/>
  <c r="AQ11" i="4"/>
  <c r="AQ13" i="4" s="1"/>
  <c r="AQ45" i="4"/>
  <c r="AQ47" i="4" s="1"/>
  <c r="AQ57" i="4"/>
  <c r="AR55" i="4" s="1"/>
  <c r="AQ49" i="4" l="1"/>
  <c r="AQ51" i="4" s="1"/>
  <c r="AR6" i="5"/>
  <c r="AR45" i="4"/>
  <c r="AR47" i="4" s="1"/>
  <c r="AR49" i="4" l="1"/>
  <c r="AR13" i="5"/>
  <c r="AS16" i="5" l="1"/>
  <c r="AS44" i="4" s="1"/>
  <c r="AS11" i="4" s="1"/>
  <c r="AS13" i="4" s="1"/>
  <c r="AS6" i="5"/>
  <c r="AR51" i="4"/>
  <c r="AR57" i="4"/>
  <c r="AS55" i="4" s="1"/>
  <c r="AS45" i="4" l="1"/>
  <c r="AS47" i="4" s="1"/>
  <c r="AS13" i="5"/>
  <c r="AT16" i="5" l="1"/>
  <c r="AT44" i="4" s="1"/>
  <c r="AT6" i="5"/>
  <c r="AT13" i="5" l="1"/>
  <c r="AU16" i="5" s="1"/>
  <c r="AU44" i="4" s="1"/>
  <c r="AU11" i="4" s="1"/>
  <c r="AU13" i="4" s="1"/>
  <c r="AT11" i="4"/>
  <c r="AT13" i="4" s="1"/>
  <c r="AT45" i="4"/>
  <c r="AS49" i="4"/>
  <c r="AU6" i="5" l="1"/>
  <c r="AU13" i="5" s="1"/>
  <c r="AV6" i="5" s="1"/>
  <c r="AS51" i="4"/>
  <c r="AS57" i="4"/>
  <c r="AT55" i="4" s="1"/>
  <c r="AU45" i="4"/>
  <c r="AT47" i="4"/>
  <c r="AV16" i="5" l="1"/>
  <c r="AV44" i="4" s="1"/>
  <c r="AU47" i="4"/>
  <c r="AT49" i="4"/>
  <c r="AT57" i="4" s="1"/>
  <c r="AU55" i="4" s="1"/>
  <c r="AV45" i="4" l="1"/>
  <c r="AV47" i="4" s="1"/>
  <c r="AV13" i="5"/>
  <c r="AW6" i="5" s="1"/>
  <c r="AV11" i="4"/>
  <c r="AV13" i="4" s="1"/>
  <c r="AU49" i="4"/>
  <c r="AU57" i="4" s="1"/>
  <c r="AV55" i="4" s="1"/>
  <c r="AT51" i="4"/>
  <c r="AV49" i="4" l="1"/>
  <c r="AW16" i="5"/>
  <c r="AW44" i="4" s="1"/>
  <c r="AU51" i="4"/>
  <c r="AW13" i="5" l="1"/>
  <c r="AX6" i="5" s="1"/>
  <c r="AW45" i="4"/>
  <c r="AV51" i="4"/>
  <c r="AW11" i="4" l="1"/>
  <c r="AW13" i="4" s="1"/>
  <c r="AX16" i="5"/>
  <c r="AX44" i="4" s="1"/>
  <c r="AX45" i="4" s="1"/>
  <c r="AX47" i="4" s="1"/>
  <c r="AW47" i="4"/>
  <c r="AX13" i="5" l="1"/>
  <c r="AY6" i="5" s="1"/>
  <c r="AW49" i="4"/>
  <c r="AW51" i="4" s="1"/>
  <c r="AX11" i="4" l="1"/>
  <c r="AX13" i="4" s="1"/>
  <c r="AX49" i="4" s="1"/>
  <c r="AX51" i="4" s="1"/>
  <c r="AY16" i="5"/>
  <c r="AY44" i="4" s="1"/>
  <c r="AY45" i="4" s="1"/>
  <c r="AY47" i="4" s="1"/>
  <c r="AY13" i="5" l="1"/>
  <c r="AZ16" i="5" s="1"/>
  <c r="AZ44" i="4" s="1"/>
  <c r="AZ45" i="4" s="1"/>
  <c r="AZ6" i="5" l="1"/>
  <c r="AY11" i="4"/>
  <c r="AY13" i="4" s="1"/>
  <c r="AY49" i="4" s="1"/>
  <c r="AY51" i="4" s="1"/>
  <c r="AZ47" i="4"/>
  <c r="AZ11" i="4" l="1"/>
  <c r="AZ13" i="5"/>
  <c r="BA16" i="5" l="1"/>
  <c r="BA44" i="4" s="1"/>
  <c r="BA45" i="4" s="1"/>
  <c r="BA6" i="5"/>
  <c r="AZ13" i="4"/>
  <c r="AZ49" i="4" s="1"/>
  <c r="AZ51" i="4" s="1"/>
  <c r="BA47" i="4" l="1"/>
  <c r="C47" i="4" s="1"/>
  <c r="C45" i="4"/>
  <c r="C44" i="4"/>
  <c r="E13" i="2" s="1"/>
  <c r="BA11" i="4" l="1"/>
  <c r="C10" i="5"/>
  <c r="BA13" i="5"/>
  <c r="C13" i="5" s="1"/>
  <c r="BA13" i="4" l="1"/>
  <c r="C11" i="4"/>
  <c r="C13" i="4" l="1"/>
  <c r="BA49" i="4"/>
  <c r="C49" i="4" l="1"/>
  <c r="BA51" i="4"/>
</calcChain>
</file>

<file path=xl/sharedStrings.xml><?xml version="1.0" encoding="utf-8"?>
<sst xmlns="http://schemas.openxmlformats.org/spreadsheetml/2006/main" count="268" uniqueCount="187">
  <si>
    <t>ASSUMPTIONS</t>
  </si>
  <si>
    <t>Description</t>
  </si>
  <si>
    <t>Beginning Base Lot Price</t>
  </si>
  <si>
    <t>Sales Without Escalation</t>
  </si>
  <si>
    <t>Total</t>
  </si>
  <si>
    <t>Total Cost</t>
  </si>
  <si>
    <t>Profit</t>
  </si>
  <si>
    <t>IRR</t>
  </si>
  <si>
    <t>Cash Sources:</t>
  </si>
  <si>
    <t xml:space="preserve">  Total</t>
  </si>
  <si>
    <t>Debt Service:</t>
  </si>
  <si>
    <t>Interest Expense</t>
  </si>
  <si>
    <t>Total Cash Uses</t>
  </si>
  <si>
    <t>Net Cash Flow</t>
  </si>
  <si>
    <t>Cumulative Cash Flow</t>
  </si>
  <si>
    <t>Beginning Balance</t>
  </si>
  <si>
    <t>Ending Balance</t>
  </si>
  <si>
    <t>DEBT SCHEDULE</t>
  </si>
  <si>
    <t>-</t>
  </si>
  <si>
    <t>IRR=</t>
  </si>
  <si>
    <t>Other Revenue</t>
  </si>
  <si>
    <t>+</t>
  </si>
  <si>
    <t>Total Revenue</t>
  </si>
  <si>
    <t>Total Sales With Escalation</t>
  </si>
  <si>
    <t>Number of Lots</t>
  </si>
  <si>
    <t>Return of Capital</t>
  </si>
  <si>
    <t>Profit Payout</t>
  </si>
  <si>
    <t>Operating Account:</t>
  </si>
  <si>
    <t>Capital Contributions</t>
  </si>
  <si>
    <t>Appraisal</t>
  </si>
  <si>
    <t>Plus: Debt Issuance for Land</t>
  </si>
  <si>
    <t>Debt Issuance</t>
  </si>
  <si>
    <t>Plus: Debt Issuance for Interest Expense</t>
  </si>
  <si>
    <t xml:space="preserve">Plus: Debt Issuance for Soft Costs </t>
  </si>
  <si>
    <t>Administrative Cost</t>
  </si>
  <si>
    <t>Land Acquisition</t>
  </si>
  <si>
    <t>Cash Uses:</t>
  </si>
  <si>
    <t xml:space="preserve">Hard Costs </t>
  </si>
  <si>
    <t>SALES PROCEEDS</t>
  </si>
  <si>
    <t>Plus: Debt Issuance for Hard Costs</t>
  </si>
  <si>
    <t>Total Cash Sources</t>
  </si>
  <si>
    <t>Loan Request</t>
  </si>
  <si>
    <t>Less: Unscheduled Amortization</t>
  </si>
  <si>
    <t xml:space="preserve">Loan Origination Fee </t>
  </si>
  <si>
    <t>Legal/Title</t>
  </si>
  <si>
    <t>Initial Amount Financed</t>
  </si>
  <si>
    <t>Partners Capital (cash basis):</t>
  </si>
  <si>
    <t>Debt Proceeds - Phase 1 A&amp;D Loan</t>
  </si>
  <si>
    <t>Hard Costs - Phase 1</t>
  </si>
  <si>
    <t>Scheduled Amortization - Phase 1 A&amp;D Loan</t>
  </si>
  <si>
    <t>Unscheduled Amortization - Phase 1 A&amp;D Loan</t>
  </si>
  <si>
    <t>Interest Expense - Phase 1 A&amp;D Loan</t>
  </si>
  <si>
    <t xml:space="preserve">Environmental </t>
  </si>
  <si>
    <t>Soft Costs - Phase 1</t>
  </si>
  <si>
    <t xml:space="preserve">Beginning Balance - Phase 1 A&amp;D Loan </t>
  </si>
  <si>
    <t xml:space="preserve">Lot Takedown Schedule </t>
  </si>
  <si>
    <t>Loan Option 1</t>
  </si>
  <si>
    <t>Loan Option 2</t>
  </si>
  <si>
    <t>Equity Requirement</t>
  </si>
  <si>
    <t>Maximum Loan</t>
  </si>
  <si>
    <t xml:space="preserve">A&amp;D Loan </t>
  </si>
  <si>
    <t>Base lot price</t>
  </si>
  <si>
    <t>Environmental study</t>
  </si>
  <si>
    <t xml:space="preserve">Property Taxes </t>
  </si>
  <si>
    <t>Land Cost</t>
  </si>
  <si>
    <t>Development Hard Cost</t>
  </si>
  <si>
    <t>Development Soft Cost (20% of hard costs)</t>
  </si>
  <si>
    <t>Lender's Collateral Release Rate</t>
  </si>
  <si>
    <t xml:space="preserve">Lender's Collateral Release Rate </t>
  </si>
  <si>
    <t xml:space="preserve">Construction Management Fee </t>
  </si>
  <si>
    <t xml:space="preserve">Lot Closing Costs </t>
  </si>
  <si>
    <t>Interest Rate</t>
  </si>
  <si>
    <t xml:space="preserve">Estimated Appraised Value of Phase 1  </t>
  </si>
  <si>
    <t xml:space="preserve">Estimated Cost of Phase 1  </t>
  </si>
  <si>
    <t>Lots</t>
  </si>
  <si>
    <t>NAME:</t>
  </si>
  <si>
    <t>Loan origination fee</t>
  </si>
  <si>
    <t>Phase 1</t>
  </si>
  <si>
    <t>Other (e.g. Cash Calls)</t>
  </si>
  <si>
    <t>Closing Costs per Lot</t>
  </si>
  <si>
    <t>Escalation Rate Increase</t>
  </si>
  <si>
    <t>A&amp;D Loan Interest Rate Increase</t>
  </si>
  <si>
    <t>Input Variables for 668 Sample</t>
  </si>
  <si>
    <t>Total Estimated Development Cost</t>
  </si>
  <si>
    <t xml:space="preserve">Geotechnical/Materials Testing </t>
  </si>
  <si>
    <t>Property taxes per acre</t>
  </si>
  <si>
    <t>Property taxes per lot = base lot value x tax rate</t>
  </si>
  <si>
    <t>Lot Escalation Rate</t>
  </si>
  <si>
    <t>Cumulative Lot Absorption</t>
  </si>
  <si>
    <t>Lot Escalation</t>
  </si>
  <si>
    <t>Total Sales with Escalation</t>
  </si>
  <si>
    <t>Construction Management Fee per lot</t>
  </si>
  <si>
    <t xml:space="preserve">Other  </t>
  </si>
  <si>
    <t>Equity Contribution - Initial Contribution and EM</t>
  </si>
  <si>
    <t>Interest Rate on A&amp;D Loan</t>
  </si>
  <si>
    <t>Average Outstanding Loan Balance</t>
  </si>
  <si>
    <t>Earnest Money</t>
  </si>
  <si>
    <t>Loan to Cost Ratio</t>
  </si>
  <si>
    <t>Loan to Value Ratio</t>
  </si>
  <si>
    <t>Roll-Back Taxes</t>
  </si>
  <si>
    <t>Initial Lot Takedown (aka Lot Closing)</t>
  </si>
  <si>
    <t>Quarterly Lot Takedown (aka Lot Closing)</t>
  </si>
  <si>
    <t>Administration Fee per month</t>
  </si>
  <si>
    <t>A&amp;D Loan Fees</t>
  </si>
  <si>
    <t>Gross Acres</t>
  </si>
  <si>
    <t>Per Acre Land Price</t>
  </si>
  <si>
    <t>Development Hard Cost per Lot</t>
  </si>
  <si>
    <t>Lot Yield</t>
  </si>
  <si>
    <t>A&amp;D Loan Closing Date</t>
  </si>
  <si>
    <t>Lot Substantial Completion Date (SC)</t>
  </si>
  <si>
    <t>Escalation Rate Increase Date</t>
  </si>
  <si>
    <t>Total Lot Sales Revenue</t>
  </si>
  <si>
    <t>Total Lot Sales With Escalation</t>
  </si>
  <si>
    <t>Geotechnical Investigation</t>
  </si>
  <si>
    <t xml:space="preserve">   Engineering/Survey/Planning</t>
  </si>
  <si>
    <t>Engineering/Survey/Planning</t>
  </si>
  <si>
    <t>A&amp;D Loan Interest Rate Increase Date</t>
  </si>
  <si>
    <t>Total Ending Balance</t>
  </si>
  <si>
    <t>Less: Scheduled Amortization</t>
  </si>
  <si>
    <t>A&amp;D LOAN</t>
  </si>
  <si>
    <t>Total Value/Cost</t>
  </si>
  <si>
    <t>Value/Cost</t>
  </si>
  <si>
    <t>Percent Financed</t>
  </si>
  <si>
    <t>Partner's Cash Flow</t>
  </si>
  <si>
    <t>Monthly Cash Flow</t>
  </si>
  <si>
    <t>Jan- Yr 1</t>
  </si>
  <si>
    <t>Feb- Yr 1</t>
  </si>
  <si>
    <t>Mar- Yr 1</t>
  </si>
  <si>
    <t>Apr- Yr 1</t>
  </si>
  <si>
    <t>May- Yr 1</t>
  </si>
  <si>
    <t>Jun- Yr 1</t>
  </si>
  <si>
    <t>Jul- Yr 1</t>
  </si>
  <si>
    <t>Aug- Yr 1</t>
  </si>
  <si>
    <t>Sep- Yr 1</t>
  </si>
  <si>
    <t>Oct- Yr 1</t>
  </si>
  <si>
    <t>Nov- Yr 1</t>
  </si>
  <si>
    <t>Dec- Yr 1</t>
  </si>
  <si>
    <t>Jan- Yr 2</t>
  </si>
  <si>
    <t>Feb- Yr 2</t>
  </si>
  <si>
    <t>Mar- Yr 2</t>
  </si>
  <si>
    <t>Apr- Yr 2</t>
  </si>
  <si>
    <t>May- Yr 2</t>
  </si>
  <si>
    <t>Jun- Yr 2</t>
  </si>
  <si>
    <t>Jul- Yr 2</t>
  </si>
  <si>
    <t>Aug- Yr 2</t>
  </si>
  <si>
    <t>Sep- Yr 2</t>
  </si>
  <si>
    <t>Oct- Yr 2</t>
  </si>
  <si>
    <t>Nov- Yr 2</t>
  </si>
  <si>
    <t>Dec- Yr 2</t>
  </si>
  <si>
    <t>Jan- Yr 3</t>
  </si>
  <si>
    <t>Feb- Yr 3</t>
  </si>
  <si>
    <t>Mar- Yr 3</t>
  </si>
  <si>
    <t>Apr- yr 3</t>
  </si>
  <si>
    <t>May- Yr 3</t>
  </si>
  <si>
    <t>Jun- Yr 3</t>
  </si>
  <si>
    <t>Jul- Yr 3</t>
  </si>
  <si>
    <t>Aug- Yr 3</t>
  </si>
  <si>
    <t>Sep- Yr 3</t>
  </si>
  <si>
    <t>Oct- Yr 3</t>
  </si>
  <si>
    <t>Nov- Yr 3</t>
  </si>
  <si>
    <t>Dec- Yr 3</t>
  </si>
  <si>
    <t>Jan- Yr 4</t>
  </si>
  <si>
    <t>Feb- Yr 4</t>
  </si>
  <si>
    <t>Mar- Yr 4</t>
  </si>
  <si>
    <t>Apr- Yr 4</t>
  </si>
  <si>
    <t>May- Yr 4</t>
  </si>
  <si>
    <t>Jun- Yr 4</t>
  </si>
  <si>
    <t>Jul- Yr 4</t>
  </si>
  <si>
    <t>LDEV 668: Kent Anderson DCF Model</t>
  </si>
  <si>
    <t>Months of Escalation</t>
  </si>
  <si>
    <t xml:space="preserve">Return of Equity (Capital) </t>
  </si>
  <si>
    <t>Hard Costs- Phase 2</t>
  </si>
  <si>
    <t>668 Sample: Kent Anderson DCF Model</t>
  </si>
  <si>
    <t>A&amp;D Loan Close</t>
  </si>
  <si>
    <t>SC</t>
  </si>
  <si>
    <t>First lot closing</t>
  </si>
  <si>
    <t>First Lot Closing</t>
  </si>
  <si>
    <t>First Lot Close</t>
  </si>
  <si>
    <t>A&amp;D Int Increse</t>
  </si>
  <si>
    <t>Aug- Yr 4</t>
  </si>
  <si>
    <t>Sep- Yr 4</t>
  </si>
  <si>
    <t>Oct- Yr 4</t>
  </si>
  <si>
    <t>Nov- Yr 4</t>
  </si>
  <si>
    <t>Dec- Yr 4</t>
  </si>
  <si>
    <t>Set- Y 4</t>
  </si>
  <si>
    <t>Sept- Yr 4</t>
  </si>
  <si>
    <t>pay off?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</si>
</sst>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164" formatCode="&quot;$&quot;#,##0"/>
    <numFmt numFmtId="165" formatCode="&quot;$&quot;#,##0.00"/>
    <numFmt numFmtId="166" formatCode="m/yy"/>
    <numFmt numFmtId="167" formatCode="0.0%"/>
    <numFmt numFmtId="168" formatCode="[$-409]mmm\-yy;@"/>
    <numFmt numFmtId="169" formatCode="m/d/yy;@"/>
  </numFmts>
  <fonts count="40" x14ac:knownFonts="1">
    <font>
      <sz val="10"/>
      <name val="Arial"/>
    </font>
    <font>
      <sz val="10"/>
      <name val="Arial"/>
      <family val="2"/>
    </font>
    <font>
      <sz val="10"/>
      <color indexed="9"/>
      <name val="Arial"/>
      <family val="2"/>
    </font>
    <font>
      <b/>
      <i/>
      <u/>
      <sz val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sz val="8"/>
      <color indexed="12"/>
      <name val="Arial"/>
      <family val="2"/>
    </font>
    <font>
      <b/>
      <sz val="6"/>
      <name val="Arial"/>
      <family val="2"/>
    </font>
    <font>
      <b/>
      <u/>
      <sz val="10"/>
      <color indexed="8"/>
      <name val="Arial"/>
      <family val="2"/>
    </font>
    <font>
      <sz val="10"/>
      <color indexed="10"/>
      <name val="Arial"/>
      <family val="2"/>
    </font>
    <font>
      <b/>
      <i/>
      <sz val="10"/>
      <color indexed="8"/>
      <name val="Arial"/>
      <family val="2"/>
    </font>
    <font>
      <i/>
      <sz val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</font>
    <font>
      <i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sz val="6"/>
      <color theme="1"/>
      <name val="Arial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3" xfId="0" applyBorder="1"/>
    <xf numFmtId="164" fontId="6" fillId="0" borderId="0" xfId="0" applyNumberFormat="1" applyFont="1" applyAlignment="1">
      <alignment horizontal="center"/>
    </xf>
    <xf numFmtId="0" fontId="4" fillId="0" borderId="3" xfId="0" applyFont="1" applyBorder="1"/>
    <xf numFmtId="164" fontId="4" fillId="0" borderId="0" xfId="0" applyNumberFormat="1" applyFont="1" applyAlignment="1">
      <alignment horizontal="center"/>
    </xf>
    <xf numFmtId="5" fontId="4" fillId="0" borderId="0" xfId="0" applyNumberFormat="1" applyFont="1" applyAlignment="1">
      <alignment horizontal="center"/>
    </xf>
    <xf numFmtId="0" fontId="4" fillId="0" borderId="0" xfId="0" applyFont="1"/>
    <xf numFmtId="37" fontId="4" fillId="0" borderId="1" xfId="0" applyNumberFormat="1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/>
    <xf numFmtId="0" fontId="7" fillId="0" borderId="0" xfId="0" applyFont="1" applyAlignment="1">
      <alignment horizontal="center"/>
    </xf>
    <xf numFmtId="0" fontId="9" fillId="2" borderId="0" xfId="0" applyFont="1" applyFill="1"/>
    <xf numFmtId="0" fontId="7" fillId="0" borderId="7" xfId="0" applyFont="1" applyBorder="1"/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3" xfId="0" applyFont="1" applyBorder="1"/>
    <xf numFmtId="0" fontId="7" fillId="0" borderId="2" xfId="0" applyFont="1" applyBorder="1" applyAlignment="1">
      <alignment horizontal="center"/>
    </xf>
    <xf numFmtId="166" fontId="7" fillId="0" borderId="0" xfId="0" applyNumberFormat="1" applyFont="1"/>
    <xf numFmtId="166" fontId="7" fillId="0" borderId="3" xfId="0" applyNumberFormat="1" applyFont="1" applyBorder="1"/>
    <xf numFmtId="166" fontId="11" fillId="0" borderId="0" xfId="0" applyNumberFormat="1" applyFont="1" applyAlignment="1">
      <alignment horizontal="center"/>
    </xf>
    <xf numFmtId="166" fontId="11" fillId="0" borderId="2" xfId="0" applyNumberFormat="1" applyFont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0" fontId="12" fillId="0" borderId="0" xfId="0" applyFont="1"/>
    <xf numFmtId="0" fontId="7" fillId="0" borderId="0" xfId="0" applyFont="1" applyAlignment="1">
      <alignment horizontal="left" indent="1"/>
    </xf>
    <xf numFmtId="37" fontId="7" fillId="0" borderId="0" xfId="0" applyNumberFormat="1" applyFont="1" applyAlignment="1">
      <alignment horizontal="center"/>
    </xf>
    <xf numFmtId="37" fontId="7" fillId="0" borderId="2" xfId="0" applyNumberFormat="1" applyFont="1" applyBorder="1" applyAlignment="1">
      <alignment horizontal="center"/>
    </xf>
    <xf numFmtId="37" fontId="14" fillId="0" borderId="0" xfId="0" applyNumberFormat="1" applyFont="1" applyAlignment="1">
      <alignment horizontal="left"/>
    </xf>
    <xf numFmtId="37" fontId="4" fillId="0" borderId="0" xfId="0" applyNumberFormat="1" applyFont="1" applyAlignment="1">
      <alignment horizontal="center"/>
    </xf>
    <xf numFmtId="0" fontId="7" fillId="0" borderId="0" xfId="0" applyFont="1" applyAlignment="1">
      <alignment horizontal="left" indent="2"/>
    </xf>
    <xf numFmtId="0" fontId="15" fillId="0" borderId="0" xfId="0" applyFont="1"/>
    <xf numFmtId="0" fontId="6" fillId="0" borderId="3" xfId="0" applyFont="1" applyBorder="1"/>
    <xf numFmtId="37" fontId="6" fillId="0" borderId="0" xfId="0" applyNumberFormat="1" applyFont="1" applyAlignment="1">
      <alignment horizontal="center"/>
    </xf>
    <xf numFmtId="37" fontId="16" fillId="0" borderId="2" xfId="0" applyNumberFormat="1" applyFont="1" applyBorder="1" applyAlignment="1">
      <alignment horizontal="center"/>
    </xf>
    <xf numFmtId="37" fontId="16" fillId="0" borderId="0" xfId="0" applyNumberFormat="1" applyFont="1" applyAlignment="1">
      <alignment horizontal="center"/>
    </xf>
    <xf numFmtId="0" fontId="16" fillId="0" borderId="0" xfId="0" applyFont="1"/>
    <xf numFmtId="0" fontId="6" fillId="0" borderId="0" xfId="0" applyFont="1" applyAlignment="1">
      <alignment horizontal="left" indent="2"/>
    </xf>
    <xf numFmtId="0" fontId="15" fillId="0" borderId="3" xfId="0" applyFont="1" applyBorder="1"/>
    <xf numFmtId="0" fontId="17" fillId="0" borderId="0" xfId="0" applyFont="1"/>
    <xf numFmtId="0" fontId="10" fillId="0" borderId="0" xfId="0" applyFont="1"/>
    <xf numFmtId="0" fontId="12" fillId="0" borderId="3" xfId="0" applyFont="1" applyBorder="1"/>
    <xf numFmtId="0" fontId="4" fillId="0" borderId="1" xfId="0" applyFont="1" applyBorder="1"/>
    <xf numFmtId="0" fontId="4" fillId="0" borderId="7" xfId="0" applyFont="1" applyBorder="1"/>
    <xf numFmtId="0" fontId="18" fillId="0" borderId="0" xfId="0" applyFont="1" applyAlignment="1">
      <alignment horizontal="left" indent="1"/>
    </xf>
    <xf numFmtId="0" fontId="18" fillId="0" borderId="3" xfId="0" applyFont="1" applyBorder="1"/>
    <xf numFmtId="0" fontId="4" fillId="0" borderId="5" xfId="0" applyFont="1" applyBorder="1"/>
    <xf numFmtId="0" fontId="4" fillId="0" borderId="4" xfId="0" applyFont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0" borderId="0" xfId="0" applyFont="1"/>
    <xf numFmtId="0" fontId="24" fillId="0" borderId="0" xfId="0" applyFont="1" applyAlignment="1">
      <alignment horizontal="left"/>
    </xf>
    <xf numFmtId="0" fontId="25" fillId="0" borderId="0" xfId="0" applyFont="1"/>
    <xf numFmtId="0" fontId="26" fillId="0" borderId="0" xfId="0" applyFont="1" applyAlignment="1">
      <alignment horizontal="left" indent="1"/>
    </xf>
    <xf numFmtId="0" fontId="22" fillId="0" borderId="0" xfId="0" applyFont="1"/>
    <xf numFmtId="6" fontId="21" fillId="0" borderId="0" xfId="0" applyNumberFormat="1" applyFont="1" applyAlignment="1">
      <alignment horizontal="center"/>
    </xf>
    <xf numFmtId="8" fontId="7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right"/>
    </xf>
    <xf numFmtId="10" fontId="8" fillId="0" borderId="10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5" fontId="4" fillId="0" borderId="3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37" fontId="1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21" fillId="0" borderId="0" xfId="0" applyFont="1" applyAlignment="1">
      <alignment horizontal="left" indent="1"/>
    </xf>
    <xf numFmtId="9" fontId="22" fillId="0" borderId="0" xfId="0" applyNumberFormat="1" applyFont="1" applyAlignment="1">
      <alignment horizontal="center" wrapText="1"/>
    </xf>
    <xf numFmtId="5" fontId="8" fillId="0" borderId="0" xfId="0" applyNumberFormat="1" applyFont="1" applyAlignment="1">
      <alignment horizontal="left"/>
    </xf>
    <xf numFmtId="0" fontId="4" fillId="0" borderId="8" xfId="0" applyFont="1" applyBorder="1" applyAlignment="1">
      <alignment horizontal="center"/>
    </xf>
    <xf numFmtId="10" fontId="22" fillId="0" borderId="0" xfId="0" applyNumberFormat="1" applyFont="1" applyAlignment="1">
      <alignment horizontal="center"/>
    </xf>
    <xf numFmtId="9" fontId="13" fillId="0" borderId="0" xfId="0" applyNumberFormat="1" applyFont="1" applyAlignment="1">
      <alignment horizontal="center" wrapText="1"/>
    </xf>
    <xf numFmtId="17" fontId="10" fillId="0" borderId="11" xfId="0" applyNumberFormat="1" applyFont="1" applyBorder="1" applyAlignment="1">
      <alignment horizontal="center"/>
    </xf>
    <xf numFmtId="5" fontId="4" fillId="0" borderId="2" xfId="0" applyNumberFormat="1" applyFont="1" applyBorder="1" applyAlignment="1">
      <alignment horizontal="center"/>
    </xf>
    <xf numFmtId="37" fontId="4" fillId="0" borderId="6" xfId="0" applyNumberFormat="1" applyFont="1" applyBorder="1" applyAlignment="1">
      <alignment horizontal="center"/>
    </xf>
    <xf numFmtId="5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2" fillId="2" borderId="1" xfId="0" applyFont="1" applyFill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8" xfId="0" applyBorder="1"/>
    <xf numFmtId="0" fontId="0" fillId="2" borderId="7" xfId="0" applyFill="1" applyBorder="1"/>
    <xf numFmtId="0" fontId="27" fillId="0" borderId="0" xfId="0" applyFont="1"/>
    <xf numFmtId="37" fontId="0" fillId="0" borderId="0" xfId="0" applyNumberFormat="1"/>
    <xf numFmtId="168" fontId="28" fillId="0" borderId="0" xfId="0" applyNumberFormat="1" applyFont="1" applyAlignment="1">
      <alignment horizontal="center"/>
    </xf>
    <xf numFmtId="165" fontId="0" fillId="0" borderId="0" xfId="0" applyNumberFormat="1"/>
    <xf numFmtId="5" fontId="0" fillId="0" borderId="2" xfId="0" applyNumberFormat="1" applyBorder="1"/>
    <xf numFmtId="0" fontId="19" fillId="2" borderId="0" xfId="0" applyFont="1" applyFill="1"/>
    <xf numFmtId="37" fontId="29" fillId="0" borderId="0" xfId="0" applyNumberFormat="1" applyFont="1" applyAlignment="1">
      <alignment horizontal="center"/>
    </xf>
    <xf numFmtId="37" fontId="30" fillId="0" borderId="0" xfId="0" applyNumberFormat="1" applyFont="1" applyAlignment="1">
      <alignment horizontal="center"/>
    </xf>
    <xf numFmtId="37" fontId="29" fillId="0" borderId="1" xfId="0" applyNumberFormat="1" applyFont="1" applyBorder="1" applyAlignment="1">
      <alignment horizontal="center"/>
    </xf>
    <xf numFmtId="0" fontId="30" fillId="0" borderId="0" xfId="0" applyFont="1"/>
    <xf numFmtId="0" fontId="31" fillId="0" borderId="0" xfId="0" applyFont="1"/>
    <xf numFmtId="10" fontId="30" fillId="0" borderId="0" xfId="0" applyNumberFormat="1" applyFont="1" applyAlignment="1">
      <alignment horizontal="center"/>
    </xf>
    <xf numFmtId="0" fontId="32" fillId="0" borderId="0" xfId="0" applyFont="1" applyAlignment="1">
      <alignment horizontal="left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164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3" fillId="0" borderId="1" xfId="0" applyFont="1" applyBorder="1" applyAlignment="1">
      <alignment horizontal="center"/>
    </xf>
    <xf numFmtId="5" fontId="33" fillId="0" borderId="1" xfId="0" applyNumberFormat="1" applyFont="1" applyBorder="1" applyAlignment="1">
      <alignment horizontal="center"/>
    </xf>
    <xf numFmtId="0" fontId="31" fillId="0" borderId="5" xfId="0" applyFont="1" applyBorder="1"/>
    <xf numFmtId="1" fontId="31" fillId="0" borderId="5" xfId="0" applyNumberFormat="1" applyFont="1" applyBorder="1" applyAlignment="1">
      <alignment horizontal="center"/>
    </xf>
    <xf numFmtId="37" fontId="33" fillId="0" borderId="0" xfId="0" applyNumberFormat="1" applyFont="1" applyAlignment="1">
      <alignment horizontal="center"/>
    </xf>
    <xf numFmtId="37" fontId="31" fillId="0" borderId="0" xfId="0" applyNumberFormat="1" applyFont="1" applyAlignment="1">
      <alignment horizontal="center"/>
    </xf>
    <xf numFmtId="37" fontId="33" fillId="0" borderId="1" xfId="0" applyNumberFormat="1" applyFont="1" applyBorder="1" applyAlignment="1">
      <alignment horizontal="center"/>
    </xf>
    <xf numFmtId="37" fontId="33" fillId="0" borderId="12" xfId="0" applyNumberFormat="1" applyFont="1" applyBorder="1" applyAlignment="1">
      <alignment horizontal="center"/>
    </xf>
    <xf numFmtId="3" fontId="0" fillId="0" borderId="0" xfId="0" applyNumberFormat="1"/>
    <xf numFmtId="37" fontId="31" fillId="0" borderId="2" xfId="0" applyNumberFormat="1" applyFont="1" applyBorder="1" applyAlignment="1">
      <alignment horizontal="center"/>
    </xf>
    <xf numFmtId="0" fontId="31" fillId="0" borderId="0" xfId="0" applyFont="1" applyAlignment="1">
      <alignment horizontal="right"/>
    </xf>
    <xf numFmtId="0" fontId="29" fillId="0" borderId="0" xfId="0" applyFont="1" applyAlignment="1">
      <alignment horizontal="left"/>
    </xf>
    <xf numFmtId="37" fontId="34" fillId="0" borderId="0" xfId="0" applyNumberFormat="1" applyFont="1" applyAlignment="1">
      <alignment horizontal="left"/>
    </xf>
    <xf numFmtId="37" fontId="31" fillId="0" borderId="6" xfId="0" applyNumberFormat="1" applyFont="1" applyBorder="1" applyAlignment="1">
      <alignment horizontal="center"/>
    </xf>
    <xf numFmtId="37" fontId="31" fillId="0" borderId="1" xfId="0" applyNumberFormat="1" applyFont="1" applyBorder="1" applyAlignment="1">
      <alignment horizontal="center"/>
    </xf>
    <xf numFmtId="37" fontId="31" fillId="0" borderId="8" xfId="0" applyNumberFormat="1" applyFont="1" applyBorder="1" applyAlignment="1">
      <alignment horizontal="center"/>
    </xf>
    <xf numFmtId="167" fontId="33" fillId="0" borderId="0" xfId="0" applyNumberFormat="1" applyFont="1" applyAlignment="1">
      <alignment horizontal="center"/>
    </xf>
    <xf numFmtId="37" fontId="31" fillId="0" borderId="5" xfId="0" applyNumberFormat="1" applyFont="1" applyBorder="1" applyAlignment="1">
      <alignment horizontal="center"/>
    </xf>
    <xf numFmtId="37" fontId="33" fillId="0" borderId="5" xfId="0" applyNumberFormat="1" applyFont="1" applyBorder="1" applyAlignment="1">
      <alignment horizontal="center"/>
    </xf>
    <xf numFmtId="8" fontId="31" fillId="0" borderId="0" xfId="0" applyNumberFormat="1" applyFont="1" applyAlignment="1">
      <alignment horizontal="center"/>
    </xf>
    <xf numFmtId="37" fontId="31" fillId="0" borderId="0" xfId="0" quotePrefix="1" applyNumberFormat="1" applyFont="1" applyAlignment="1">
      <alignment horizontal="center"/>
    </xf>
    <xf numFmtId="37" fontId="31" fillId="0" borderId="13" xfId="0" applyNumberFormat="1" applyFont="1" applyBorder="1" applyAlignment="1">
      <alignment horizontal="center"/>
    </xf>
    <xf numFmtId="9" fontId="0" fillId="0" borderId="0" xfId="1" applyFont="1"/>
    <xf numFmtId="10" fontId="0" fillId="0" borderId="0" xfId="1" applyNumberFormat="1" applyFont="1"/>
    <xf numFmtId="3" fontId="31" fillId="0" borderId="0" xfId="0" applyNumberFormat="1" applyFont="1" applyAlignment="1">
      <alignment horizontal="center"/>
    </xf>
    <xf numFmtId="37" fontId="4" fillId="0" borderId="0" xfId="0" applyNumberFormat="1" applyFont="1" applyAlignment="1">
      <alignment horizontal="left"/>
    </xf>
    <xf numFmtId="0" fontId="9" fillId="0" borderId="0" xfId="0" applyFont="1"/>
    <xf numFmtId="0" fontId="1" fillId="0" borderId="0" xfId="0" applyFont="1" applyAlignment="1">
      <alignment horizontal="left" indent="2"/>
    </xf>
    <xf numFmtId="0" fontId="1" fillId="0" borderId="0" xfId="0" applyFont="1"/>
    <xf numFmtId="17" fontId="0" fillId="0" borderId="0" xfId="0" applyNumberFormat="1"/>
    <xf numFmtId="0" fontId="1" fillId="0" borderId="0" xfId="0" applyFont="1" applyAlignment="1">
      <alignment horizontal="left" indent="1"/>
    </xf>
    <xf numFmtId="0" fontId="35" fillId="0" borderId="0" xfId="0" applyFont="1"/>
    <xf numFmtId="169" fontId="35" fillId="0" borderId="0" xfId="0" applyNumberFormat="1" applyFont="1" applyAlignment="1">
      <alignment horizontal="left"/>
    </xf>
    <xf numFmtId="9" fontId="1" fillId="0" borderId="0" xfId="1" applyFont="1"/>
    <xf numFmtId="0" fontId="1" fillId="0" borderId="0" xfId="0" applyFont="1" applyAlignment="1">
      <alignment horizontal="center"/>
    </xf>
    <xf numFmtId="0" fontId="21" fillId="0" borderId="0" xfId="0" quotePrefix="1" applyFont="1"/>
    <xf numFmtId="0" fontId="1" fillId="0" borderId="0" xfId="0" applyFont="1" applyAlignment="1">
      <alignment horizontal="right"/>
    </xf>
    <xf numFmtId="10" fontId="1" fillId="0" borderId="0" xfId="1" applyNumberFormat="1" applyFont="1" applyAlignment="1">
      <alignment horizontal="right"/>
    </xf>
    <xf numFmtId="164" fontId="1" fillId="0" borderId="0" xfId="0" applyNumberFormat="1" applyFont="1"/>
    <xf numFmtId="164" fontId="36" fillId="3" borderId="0" xfId="0" applyNumberFormat="1" applyFont="1" applyFill="1" applyAlignment="1">
      <alignment horizontal="center"/>
    </xf>
    <xf numFmtId="0" fontId="7" fillId="3" borderId="0" xfId="0" applyFont="1" applyFill="1"/>
    <xf numFmtId="5" fontId="0" fillId="3" borderId="0" xfId="0" applyNumberFormat="1" applyFill="1" applyAlignment="1">
      <alignment horizontal="center"/>
    </xf>
    <xf numFmtId="9" fontId="0" fillId="3" borderId="0" xfId="0" applyNumberFormat="1" applyFill="1" applyAlignment="1">
      <alignment horizontal="center"/>
    </xf>
    <xf numFmtId="5" fontId="4" fillId="3" borderId="0" xfId="0" applyNumberFormat="1" applyFont="1" applyFill="1" applyAlignment="1">
      <alignment horizontal="center"/>
    </xf>
    <xf numFmtId="0" fontId="10" fillId="0" borderId="5" xfId="0" applyFont="1" applyBorder="1" applyAlignment="1">
      <alignment horizontal="left"/>
    </xf>
    <xf numFmtId="4" fontId="0" fillId="0" borderId="0" xfId="0" applyNumberFormat="1" applyAlignment="1">
      <alignment horizontal="center"/>
    </xf>
    <xf numFmtId="15" fontId="5" fillId="0" borderId="0" xfId="0" applyNumberFormat="1" applyFont="1" applyAlignment="1">
      <alignment horizontal="center"/>
    </xf>
    <xf numFmtId="5" fontId="10" fillId="0" borderId="14" xfId="0" applyNumberFormat="1" applyFont="1" applyBorder="1" applyAlignment="1">
      <alignment horizontal="center"/>
    </xf>
    <xf numFmtId="5" fontId="4" fillId="0" borderId="15" xfId="0" applyNumberFormat="1" applyFont="1" applyBorder="1" applyAlignment="1">
      <alignment horizontal="center"/>
    </xf>
    <xf numFmtId="0" fontId="0" fillId="0" borderId="15" xfId="0" applyBorder="1"/>
    <xf numFmtId="10" fontId="0" fillId="0" borderId="15" xfId="0" applyNumberFormat="1" applyBorder="1" applyAlignment="1">
      <alignment horizontal="center"/>
    </xf>
    <xf numFmtId="0" fontId="0" fillId="0" borderId="16" xfId="0" applyBorder="1"/>
    <xf numFmtId="0" fontId="0" fillId="0" borderId="3" xfId="0" quotePrefix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2" xfId="0" quotePrefix="1" applyBorder="1" applyAlignment="1">
      <alignment horizontal="center"/>
    </xf>
    <xf numFmtId="3" fontId="0" fillId="0" borderId="8" xfId="0" applyNumberFormat="1" applyBorder="1"/>
    <xf numFmtId="3" fontId="0" fillId="0" borderId="2" xfId="0" applyNumberFormat="1" applyBorder="1"/>
    <xf numFmtId="3" fontId="0" fillId="0" borderId="5" xfId="0" applyNumberFormat="1" applyBorder="1"/>
    <xf numFmtId="3" fontId="4" fillId="0" borderId="6" xfId="0" applyNumberFormat="1" applyFont="1" applyBorder="1"/>
    <xf numFmtId="0" fontId="37" fillId="0" borderId="0" xfId="0" applyFont="1" applyAlignment="1">
      <alignment horizontal="left" indent="1"/>
    </xf>
    <xf numFmtId="0" fontId="38" fillId="0" borderId="0" xfId="0" applyFont="1"/>
    <xf numFmtId="0" fontId="39" fillId="0" borderId="0" xfId="0" applyFont="1" applyAlignment="1">
      <alignment horizontal="left" indent="1"/>
    </xf>
    <xf numFmtId="9" fontId="38" fillId="0" borderId="0" xfId="0" applyNumberFormat="1" applyFont="1" applyAlignment="1">
      <alignment horizontal="center" wrapText="1"/>
    </xf>
    <xf numFmtId="17" fontId="1" fillId="0" borderId="0" xfId="0" applyNumberFormat="1" applyFont="1"/>
    <xf numFmtId="0" fontId="1" fillId="3" borderId="0" xfId="0" applyFont="1" applyFill="1" applyAlignment="1">
      <alignment horizontal="center"/>
    </xf>
    <xf numFmtId="0" fontId="21" fillId="3" borderId="0" xfId="0" applyFont="1" applyFill="1"/>
    <xf numFmtId="0" fontId="1" fillId="3" borderId="0" xfId="0" applyFont="1" applyFill="1"/>
    <xf numFmtId="0" fontId="10" fillId="3" borderId="0" xfId="0" applyFont="1" applyFill="1" applyAlignment="1">
      <alignment horizontal="center"/>
    </xf>
    <xf numFmtId="37" fontId="1" fillId="0" borderId="0" xfId="0" applyNumberFormat="1" applyFont="1" applyAlignment="1">
      <alignment horizontal="center"/>
    </xf>
    <xf numFmtId="17" fontId="10" fillId="0" borderId="15" xfId="0" applyNumberFormat="1" applyFont="1" applyFill="1" applyBorder="1" applyAlignment="1">
      <alignment horizontal="center"/>
    </xf>
    <xf numFmtId="0" fontId="1" fillId="0" borderId="0" xfId="0" applyFont="1" applyFill="1" applyBorder="1"/>
    <xf numFmtId="41" fontId="0" fillId="0" borderId="0" xfId="0" applyNumberFormat="1" applyAlignment="1">
      <alignment horizontal="center" vertical="center"/>
    </xf>
    <xf numFmtId="17" fontId="10" fillId="0" borderId="15" xfId="0" applyNumberFormat="1" applyFont="1" applyFill="1" applyBorder="1" applyAlignment="1">
      <alignment horizontal="center" vertical="center"/>
    </xf>
    <xf numFmtId="37" fontId="31" fillId="0" borderId="0" xfId="0" applyNumberFormat="1" applyFont="1" applyAlignment="1">
      <alignment horizontal="center" vertical="center"/>
    </xf>
    <xf numFmtId="37" fontId="33" fillId="0" borderId="1" xfId="0" applyNumberFormat="1" applyFont="1" applyBorder="1" applyAlignment="1">
      <alignment horizontal="center" vertical="center"/>
    </xf>
    <xf numFmtId="37" fontId="33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7" fontId="33" fillId="3" borderId="1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65"/>
  <sheetViews>
    <sheetView topLeftCell="A3" zoomScale="140" zoomScaleNormal="140" workbookViewId="0">
      <selection activeCell="F14" sqref="F14"/>
    </sheetView>
  </sheetViews>
  <sheetFormatPr baseColWidth="10" defaultColWidth="8.83203125" defaultRowHeight="13" x14ac:dyDescent="0.15"/>
  <cols>
    <col min="1" max="1" width="1.6640625" customWidth="1"/>
    <col min="2" max="2" width="44.6640625" customWidth="1"/>
    <col min="3" max="4" width="17" customWidth="1"/>
    <col min="5" max="5" width="17.83203125" customWidth="1"/>
    <col min="6" max="6" width="14.1640625" customWidth="1"/>
    <col min="7" max="7" width="22.6640625" customWidth="1"/>
    <col min="8" max="8" width="44.5" customWidth="1"/>
    <col min="9" max="9" width="13.6640625" customWidth="1"/>
    <col min="10" max="10" width="16" customWidth="1"/>
    <col min="11" max="11" width="19.6640625" customWidth="1"/>
    <col min="12" max="12" width="22" customWidth="1"/>
    <col min="13" max="13" width="19.33203125" customWidth="1"/>
    <col min="17" max="20" width="12" customWidth="1"/>
  </cols>
  <sheetData>
    <row r="1" spans="1:12" ht="18" x14ac:dyDescent="0.2">
      <c r="A1" t="s">
        <v>18</v>
      </c>
      <c r="B1" s="137" t="s">
        <v>75</v>
      </c>
      <c r="C1" s="137" t="s">
        <v>168</v>
      </c>
    </row>
    <row r="2" spans="1:12" ht="18" x14ac:dyDescent="0.2">
      <c r="B2" s="137"/>
      <c r="C2" s="138"/>
    </row>
    <row r="3" spans="1:12" x14ac:dyDescent="0.15">
      <c r="A3" s="86"/>
      <c r="B3" s="82" t="s">
        <v>0</v>
      </c>
      <c r="C3" s="1"/>
      <c r="D3" s="1"/>
      <c r="E3" s="1"/>
      <c r="F3" s="1"/>
      <c r="G3" s="1"/>
      <c r="H3" s="1"/>
      <c r="I3" s="1"/>
      <c r="J3" s="1"/>
      <c r="K3" s="1"/>
      <c r="L3" s="85"/>
    </row>
    <row r="4" spans="1:12" ht="12.75" customHeight="1" x14ac:dyDescent="0.15">
      <c r="A4" s="5"/>
      <c r="B4" s="83" t="s">
        <v>1</v>
      </c>
      <c r="L4" s="2"/>
    </row>
    <row r="5" spans="1:12" ht="39" customHeight="1" x14ac:dyDescent="0.15">
      <c r="A5" s="5"/>
      <c r="B5" s="99" t="s">
        <v>172</v>
      </c>
      <c r="C5" s="100" t="s">
        <v>2</v>
      </c>
      <c r="D5" s="101" t="s">
        <v>24</v>
      </c>
      <c r="E5" s="100" t="s">
        <v>3</v>
      </c>
      <c r="F5" s="100" t="s">
        <v>90</v>
      </c>
      <c r="G5" s="3"/>
      <c r="H5" s="4" t="s">
        <v>41</v>
      </c>
      <c r="I5" s="3" t="s">
        <v>120</v>
      </c>
      <c r="J5" s="3" t="s">
        <v>122</v>
      </c>
      <c r="K5" s="3" t="s">
        <v>45</v>
      </c>
      <c r="L5" s="2"/>
    </row>
    <row r="6" spans="1:12" x14ac:dyDescent="0.15">
      <c r="A6" s="5"/>
      <c r="B6" s="102"/>
      <c r="C6" s="97"/>
      <c r="D6" s="97"/>
      <c r="E6" s="97"/>
      <c r="F6" s="97"/>
      <c r="G6" s="6" t="s">
        <v>56</v>
      </c>
      <c r="H6" s="15" t="s">
        <v>72</v>
      </c>
      <c r="I6" s="80">
        <f>E7</f>
        <v>11610000</v>
      </c>
      <c r="J6" s="81">
        <f>C58</f>
        <v>0.75</v>
      </c>
      <c r="K6" s="80">
        <f>+I6*J6</f>
        <v>8707500</v>
      </c>
      <c r="L6" s="2"/>
    </row>
    <row r="7" spans="1:12" x14ac:dyDescent="0.15">
      <c r="A7" s="5"/>
      <c r="B7" s="102" t="s">
        <v>77</v>
      </c>
      <c r="C7" s="103">
        <f>C30</f>
        <v>86000</v>
      </c>
      <c r="D7" s="130">
        <f>C31</f>
        <v>135</v>
      </c>
      <c r="E7" s="103">
        <f>C7*D7</f>
        <v>11610000</v>
      </c>
      <c r="F7" s="103">
        <v>0</v>
      </c>
      <c r="G7" s="6" t="s">
        <v>57</v>
      </c>
      <c r="H7" s="15" t="s">
        <v>73</v>
      </c>
      <c r="I7" s="80">
        <f>G37</f>
        <v>9865322.7750000004</v>
      </c>
      <c r="J7" s="81">
        <f>C57</f>
        <v>0.85</v>
      </c>
      <c r="K7" s="80">
        <f>+I7*J7</f>
        <v>8385524.3587499997</v>
      </c>
      <c r="L7" s="2"/>
    </row>
    <row r="8" spans="1:12" x14ac:dyDescent="0.15">
      <c r="A8" s="5"/>
      <c r="B8" s="105" t="s">
        <v>4</v>
      </c>
      <c r="C8" s="97"/>
      <c r="D8" s="106">
        <f>SUM(D7:D7)</f>
        <v>135</v>
      </c>
      <c r="E8" s="107">
        <f>SUM(E7:E7)</f>
        <v>11610000</v>
      </c>
      <c r="F8" s="107">
        <f>SUM(F7:F7)</f>
        <v>0</v>
      </c>
      <c r="G8" s="9"/>
      <c r="L8" s="2"/>
    </row>
    <row r="9" spans="1:12" x14ac:dyDescent="0.15">
      <c r="A9" s="5"/>
      <c r="B9" s="97"/>
      <c r="C9" s="97"/>
      <c r="D9" s="97"/>
      <c r="E9" s="97"/>
      <c r="F9" s="97"/>
      <c r="K9" s="4" t="s">
        <v>59</v>
      </c>
      <c r="L9" s="2"/>
    </row>
    <row r="10" spans="1:12" x14ac:dyDescent="0.15">
      <c r="A10" s="5"/>
      <c r="B10" s="108"/>
      <c r="C10" s="97"/>
      <c r="D10" s="97"/>
      <c r="E10" s="97"/>
      <c r="F10" s="97"/>
      <c r="H10" s="4"/>
      <c r="I10" s="9"/>
      <c r="K10" s="9">
        <f>K7</f>
        <v>8385524.3587499997</v>
      </c>
      <c r="L10" s="2"/>
    </row>
    <row r="11" spans="1:12" ht="16" customHeight="1" x14ac:dyDescent="0.15">
      <c r="A11" s="5"/>
      <c r="B11" s="65" t="s">
        <v>23</v>
      </c>
      <c r="C11" s="66" t="s">
        <v>20</v>
      </c>
      <c r="D11" s="66" t="s">
        <v>22</v>
      </c>
      <c r="E11" s="64" t="s">
        <v>5</v>
      </c>
      <c r="F11" s="74" t="s">
        <v>6</v>
      </c>
      <c r="G11" s="144"/>
      <c r="I11" s="4" t="s">
        <v>4</v>
      </c>
      <c r="L11" s="2"/>
    </row>
    <row r="12" spans="1:12" ht="16" customHeight="1" x14ac:dyDescent="0.15">
      <c r="A12" s="5"/>
      <c r="B12" s="158"/>
      <c r="C12" s="159"/>
      <c r="D12" s="160"/>
      <c r="E12" s="160"/>
      <c r="F12" s="161"/>
      <c r="I12" s="4" t="s">
        <v>121</v>
      </c>
      <c r="J12" s="3"/>
      <c r="K12" s="4" t="s">
        <v>58</v>
      </c>
      <c r="L12" s="2"/>
    </row>
    <row r="13" spans="1:12" x14ac:dyDescent="0.15">
      <c r="A13" s="5"/>
      <c r="B13" s="67">
        <f>'Sales Proceeds'!C12</f>
        <v>12858720</v>
      </c>
      <c r="C13" s="9">
        <v>0</v>
      </c>
      <c r="D13" s="9">
        <f>+B13+C13</f>
        <v>12858720</v>
      </c>
      <c r="E13" s="8">
        <f>-('Cash Flow'!C18+'Cash Flow'!C23+'Cash Flow'!C36+'Cash Flow'!C44)</f>
        <v>11183552.678136777</v>
      </c>
      <c r="F13" s="78">
        <f>+D13-E13</f>
        <v>1675167.3218632229</v>
      </c>
      <c r="G13" s="145" t="s">
        <v>119</v>
      </c>
      <c r="H13" s="146" t="s">
        <v>73</v>
      </c>
      <c r="I13" s="147">
        <v>11183553</v>
      </c>
      <c r="J13" s="148">
        <f>J7</f>
        <v>0.85</v>
      </c>
      <c r="K13" s="149">
        <f>I13-K10</f>
        <v>2798028.6412500003</v>
      </c>
      <c r="L13" s="2"/>
    </row>
    <row r="14" spans="1:12" x14ac:dyDescent="0.15">
      <c r="A14" s="5"/>
      <c r="B14" s="52"/>
      <c r="C14" s="51"/>
      <c r="D14" s="51"/>
      <c r="E14" s="13"/>
      <c r="F14" s="79"/>
      <c r="L14" s="91"/>
    </row>
    <row r="15" spans="1:12" x14ac:dyDescent="0.15">
      <c r="A15" s="5"/>
      <c r="B15" s="84"/>
      <c r="D15" s="4"/>
      <c r="E15" s="8"/>
      <c r="F15" s="9"/>
      <c r="G15" s="9"/>
      <c r="L15" s="2"/>
    </row>
    <row r="16" spans="1:12" x14ac:dyDescent="0.15">
      <c r="A16" s="5"/>
      <c r="L16" s="2"/>
    </row>
    <row r="17" spans="1:12" x14ac:dyDescent="0.15">
      <c r="A17" s="5"/>
      <c r="B17" s="3"/>
      <c r="C17" s="3"/>
      <c r="D17" s="3"/>
      <c r="E17" s="3"/>
      <c r="F17" s="153"/>
      <c r="L17" s="2"/>
    </row>
    <row r="18" spans="1:12" x14ac:dyDescent="0.15">
      <c r="A18" s="5"/>
      <c r="B18" s="3"/>
      <c r="C18" s="3"/>
      <c r="D18" s="3"/>
      <c r="E18" s="3"/>
      <c r="F18" s="154" t="s">
        <v>7</v>
      </c>
      <c r="L18" s="2"/>
    </row>
    <row r="19" spans="1:12" x14ac:dyDescent="0.15">
      <c r="A19" s="5"/>
      <c r="D19" s="4"/>
      <c r="F19" s="155"/>
      <c r="L19" s="2"/>
    </row>
    <row r="20" spans="1:12" x14ac:dyDescent="0.15">
      <c r="A20" s="5"/>
      <c r="B20" s="130"/>
      <c r="C20" s="151"/>
      <c r="D20" s="151"/>
      <c r="E20" s="152"/>
      <c r="F20" s="156">
        <v>0</v>
      </c>
      <c r="L20" s="2"/>
    </row>
    <row r="21" spans="1:12" x14ac:dyDescent="0.15">
      <c r="A21" s="5"/>
      <c r="F21" s="157"/>
      <c r="L21" s="2"/>
    </row>
    <row r="22" spans="1:12" x14ac:dyDescent="0.15">
      <c r="A22" s="5"/>
      <c r="L22" s="2"/>
    </row>
    <row r="23" spans="1:12" x14ac:dyDescent="0.15">
      <c r="A23" s="5"/>
      <c r="L23" s="2"/>
    </row>
    <row r="24" spans="1:12" x14ac:dyDescent="0.15">
      <c r="A24" s="5"/>
      <c r="L24" s="2"/>
    </row>
    <row r="25" spans="1:12" x14ac:dyDescent="0.1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4"/>
    </row>
    <row r="27" spans="1:12" ht="12.75" customHeight="1" x14ac:dyDescent="0.15"/>
    <row r="28" spans="1:12" x14ac:dyDescent="0.15">
      <c r="B28" s="10" t="s">
        <v>82</v>
      </c>
      <c r="E28" s="90"/>
      <c r="F28" s="90"/>
      <c r="G28" s="90"/>
    </row>
    <row r="30" spans="1:12" x14ac:dyDescent="0.15">
      <c r="B30" t="s">
        <v>61</v>
      </c>
      <c r="C30" s="114">
        <v>86000</v>
      </c>
      <c r="F30" s="15"/>
    </row>
    <row r="31" spans="1:12" x14ac:dyDescent="0.15">
      <c r="B31" s="134" t="s">
        <v>107</v>
      </c>
      <c r="C31" s="114">
        <v>135</v>
      </c>
    </row>
    <row r="32" spans="1:12" x14ac:dyDescent="0.15">
      <c r="B32" s="134" t="s">
        <v>104</v>
      </c>
      <c r="C32" s="114">
        <v>42</v>
      </c>
      <c r="D32" s="134"/>
      <c r="E32" s="18" t="s">
        <v>64</v>
      </c>
      <c r="F32" s="1"/>
      <c r="G32" s="162">
        <f>C32*C33</f>
        <v>3780000</v>
      </c>
    </row>
    <row r="33" spans="2:7" x14ac:dyDescent="0.15">
      <c r="B33" s="134" t="s">
        <v>105</v>
      </c>
      <c r="C33" s="114">
        <v>90000</v>
      </c>
      <c r="D33" s="134"/>
      <c r="E33" s="22" t="s">
        <v>65</v>
      </c>
      <c r="F33" s="114"/>
      <c r="G33" s="163">
        <f>C34*C31</f>
        <v>4657500</v>
      </c>
    </row>
    <row r="34" spans="2:7" x14ac:dyDescent="0.15">
      <c r="B34" s="134" t="s">
        <v>106</v>
      </c>
      <c r="C34" s="114">
        <v>34500</v>
      </c>
      <c r="D34" s="134"/>
      <c r="E34" s="22" t="s">
        <v>66</v>
      </c>
      <c r="F34" s="114"/>
      <c r="G34" s="163">
        <f>0.2*G33</f>
        <v>931500</v>
      </c>
    </row>
    <row r="35" spans="2:7" ht="12" customHeight="1" x14ac:dyDescent="0.15">
      <c r="B35" t="s">
        <v>29</v>
      </c>
      <c r="C35" s="114">
        <v>7500</v>
      </c>
      <c r="E35" s="22" t="s">
        <v>11</v>
      </c>
      <c r="F35" s="114"/>
      <c r="G35" s="163">
        <f>(G32+G33+G34)*C49*C53</f>
        <v>496322.77500000002</v>
      </c>
    </row>
    <row r="36" spans="2:7" ht="12.75" customHeight="1" x14ac:dyDescent="0.15">
      <c r="B36" s="134" t="s">
        <v>76</v>
      </c>
      <c r="C36" s="114">
        <v>25000</v>
      </c>
      <c r="E36" s="5"/>
      <c r="F36" s="114"/>
      <c r="G36" s="163"/>
    </row>
    <row r="37" spans="2:7" x14ac:dyDescent="0.15">
      <c r="B37" t="s">
        <v>62</v>
      </c>
      <c r="C37" s="114">
        <v>10000</v>
      </c>
      <c r="E37" s="52" t="s">
        <v>83</v>
      </c>
      <c r="F37" s="164"/>
      <c r="G37" s="165">
        <f>SUM(G32:G36)</f>
        <v>9865322.7750000004</v>
      </c>
    </row>
    <row r="38" spans="2:7" x14ac:dyDescent="0.15">
      <c r="B38" s="134" t="s">
        <v>84</v>
      </c>
      <c r="C38" s="114">
        <v>25000</v>
      </c>
      <c r="F38" s="114"/>
      <c r="G38" s="114"/>
    </row>
    <row r="39" spans="2:7" x14ac:dyDescent="0.15">
      <c r="B39" s="134" t="s">
        <v>115</v>
      </c>
      <c r="C39" s="114">
        <v>7500</v>
      </c>
      <c r="G39" s="114"/>
    </row>
    <row r="40" spans="2:7" x14ac:dyDescent="0.15">
      <c r="B40" s="134" t="s">
        <v>79</v>
      </c>
      <c r="C40" s="114">
        <v>500</v>
      </c>
    </row>
    <row r="41" spans="2:7" x14ac:dyDescent="0.15">
      <c r="B41" s="134" t="s">
        <v>91</v>
      </c>
      <c r="C41" s="114">
        <v>1000</v>
      </c>
    </row>
    <row r="42" spans="2:7" x14ac:dyDescent="0.15">
      <c r="B42" s="134" t="s">
        <v>102</v>
      </c>
      <c r="C42" s="114">
        <v>1000</v>
      </c>
    </row>
    <row r="43" spans="2:7" x14ac:dyDescent="0.15">
      <c r="B43" t="s">
        <v>44</v>
      </c>
      <c r="C43" s="114">
        <v>100000</v>
      </c>
    </row>
    <row r="44" spans="2:7" x14ac:dyDescent="0.15">
      <c r="B44" s="134" t="s">
        <v>85</v>
      </c>
      <c r="C44" s="114">
        <v>5000</v>
      </c>
    </row>
    <row r="45" spans="2:7" x14ac:dyDescent="0.15">
      <c r="B45" s="134" t="s">
        <v>86</v>
      </c>
      <c r="C45" s="139">
        <v>0.02</v>
      </c>
    </row>
    <row r="46" spans="2:7" x14ac:dyDescent="0.15">
      <c r="B46" s="134" t="s">
        <v>87</v>
      </c>
      <c r="C46" s="129">
        <v>0.08</v>
      </c>
    </row>
    <row r="47" spans="2:7" x14ac:dyDescent="0.15">
      <c r="B47" s="134" t="s">
        <v>80</v>
      </c>
      <c r="C47" s="129"/>
    </row>
    <row r="48" spans="2:7" x14ac:dyDescent="0.15">
      <c r="B48" s="134" t="s">
        <v>110</v>
      </c>
      <c r="C48" s="135"/>
    </row>
    <row r="49" spans="2:4" x14ac:dyDescent="0.15">
      <c r="B49" s="134" t="s">
        <v>94</v>
      </c>
      <c r="C49" s="129">
        <v>8.1500000000000003E-2</v>
      </c>
    </row>
    <row r="50" spans="2:4" x14ac:dyDescent="0.15">
      <c r="B50" s="134" t="s">
        <v>81</v>
      </c>
      <c r="C50" s="129">
        <v>5.0000000000000001E-3</v>
      </c>
    </row>
    <row r="51" spans="2:4" x14ac:dyDescent="0.15">
      <c r="B51" s="134" t="s">
        <v>116</v>
      </c>
      <c r="C51" s="143" t="s">
        <v>149</v>
      </c>
    </row>
    <row r="52" spans="2:4" x14ac:dyDescent="0.15">
      <c r="B52" s="15" t="s">
        <v>68</v>
      </c>
      <c r="C52" s="128">
        <v>0.95</v>
      </c>
    </row>
    <row r="53" spans="2:4" x14ac:dyDescent="0.15">
      <c r="B53" s="134" t="s">
        <v>95</v>
      </c>
      <c r="C53" s="128">
        <v>0.65</v>
      </c>
    </row>
    <row r="54" spans="2:4" x14ac:dyDescent="0.15">
      <c r="B54" s="134" t="s">
        <v>96</v>
      </c>
      <c r="C54" s="114">
        <v>250000</v>
      </c>
    </row>
    <row r="55" spans="2:4" x14ac:dyDescent="0.15">
      <c r="B55" s="134" t="s">
        <v>100</v>
      </c>
      <c r="C55">
        <v>9</v>
      </c>
      <c r="D55" t="s">
        <v>74</v>
      </c>
    </row>
    <row r="56" spans="2:4" x14ac:dyDescent="0.15">
      <c r="B56" s="134" t="s">
        <v>101</v>
      </c>
      <c r="C56">
        <v>12</v>
      </c>
      <c r="D56" t="s">
        <v>74</v>
      </c>
    </row>
    <row r="57" spans="2:4" x14ac:dyDescent="0.15">
      <c r="B57" s="134" t="s">
        <v>97</v>
      </c>
      <c r="C57" s="128">
        <v>0.85</v>
      </c>
    </row>
    <row r="58" spans="2:4" x14ac:dyDescent="0.15">
      <c r="B58" s="134" t="s">
        <v>98</v>
      </c>
      <c r="C58" s="128">
        <v>0.75</v>
      </c>
    </row>
    <row r="59" spans="2:4" x14ac:dyDescent="0.15">
      <c r="B59" s="134" t="s">
        <v>99</v>
      </c>
      <c r="C59" s="142">
        <v>50000</v>
      </c>
    </row>
    <row r="60" spans="2:4" x14ac:dyDescent="0.15">
      <c r="B60" s="134" t="s">
        <v>103</v>
      </c>
      <c r="C60" s="142"/>
    </row>
    <row r="61" spans="2:4" x14ac:dyDescent="0.15">
      <c r="B61" s="134" t="s">
        <v>108</v>
      </c>
      <c r="C61" s="170" t="s">
        <v>131</v>
      </c>
    </row>
    <row r="62" spans="2:4" x14ac:dyDescent="0.15">
      <c r="B62" s="134" t="s">
        <v>109</v>
      </c>
      <c r="C62" s="170" t="s">
        <v>138</v>
      </c>
    </row>
    <row r="63" spans="2:4" x14ac:dyDescent="0.15">
      <c r="B63" s="134"/>
    </row>
    <row r="64" spans="2:4" x14ac:dyDescent="0.15">
      <c r="B64" s="134"/>
    </row>
    <row r="65" spans="2:3" x14ac:dyDescent="0.15">
      <c r="B65" s="134"/>
      <c r="C65" s="128"/>
    </row>
  </sheetData>
  <phoneticPr fontId="23" type="noConversion"/>
  <pageMargins left="0.75" right="0.75" top="1" bottom="1" header="0.5" footer="0.5"/>
  <pageSetup paperSize="5" scale="63" orientation="landscape" r:id="rId1"/>
  <headerFooter alignWithMargins="0">
    <oddFooter>&amp;L&amp;F&amp;CPage &amp;P of &amp;N&amp;R&amp;A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O19"/>
  <sheetViews>
    <sheetView zoomScale="160" zoomScaleNormal="160" workbookViewId="0">
      <pane xSplit="4" ySplit="4" topLeftCell="P5" activePane="bottomRight" state="frozen"/>
      <selection pane="topRight" activeCell="E1" sqref="E1"/>
      <selection pane="bottomLeft" activeCell="A5" sqref="A5"/>
      <selection pane="bottomRight" activeCell="BA5" sqref="BA5"/>
    </sheetView>
  </sheetViews>
  <sheetFormatPr baseColWidth="10" defaultColWidth="8.83203125" defaultRowHeight="13" x14ac:dyDescent="0.15"/>
  <cols>
    <col min="1" max="1" width="15" customWidth="1"/>
    <col min="2" max="2" width="1.6640625" customWidth="1"/>
    <col min="3" max="3" width="12.83203125" customWidth="1"/>
    <col min="4" max="4" width="1.6640625" customWidth="1"/>
    <col min="5" max="5" width="15" customWidth="1"/>
    <col min="6" max="6" width="13.5" customWidth="1"/>
    <col min="7" max="21" width="11.6640625" customWidth="1"/>
    <col min="22" max="38" width="11.83203125" customWidth="1"/>
    <col min="39" max="39" width="11.5" customWidth="1"/>
    <col min="40" max="41" width="10.5" bestFit="1" customWidth="1"/>
    <col min="42" max="42" width="11.1640625" bestFit="1" customWidth="1"/>
    <col min="43" max="43" width="10.33203125" bestFit="1" customWidth="1"/>
    <col min="44" max="44" width="10.5" bestFit="1" customWidth="1"/>
    <col min="45" max="45" width="11.1640625" bestFit="1" customWidth="1"/>
    <col min="46" max="46" width="10.5" bestFit="1" customWidth="1"/>
    <col min="47" max="47" width="10" bestFit="1" customWidth="1"/>
  </cols>
  <sheetData>
    <row r="1" spans="1:67" x14ac:dyDescent="0.15">
      <c r="A1" s="17" t="s">
        <v>38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5"/>
    </row>
    <row r="2" spans="1:67" x14ac:dyDescent="0.15">
      <c r="A2" s="15" t="str">
        <f>Assumptions!B5</f>
        <v>668 Sample: Kent Anderson DCF Model</v>
      </c>
      <c r="B2" s="18"/>
      <c r="C2" s="19"/>
      <c r="D2" s="20"/>
      <c r="F2" s="68"/>
      <c r="G2" s="21"/>
      <c r="H2" s="16"/>
      <c r="I2" s="16"/>
      <c r="J2" s="16"/>
      <c r="K2" s="16"/>
      <c r="L2" s="16"/>
      <c r="M2" s="16"/>
      <c r="N2" s="16"/>
      <c r="O2" s="16"/>
      <c r="P2" s="16"/>
      <c r="Q2" s="16"/>
      <c r="R2" s="140"/>
      <c r="S2" s="16"/>
      <c r="T2" s="16"/>
      <c r="U2" s="16"/>
      <c r="V2" s="15"/>
      <c r="AD2" s="134"/>
    </row>
    <row r="3" spans="1:67" x14ac:dyDescent="0.15">
      <c r="A3" s="15"/>
      <c r="B3" s="22"/>
      <c r="C3" s="16"/>
      <c r="D3" s="23"/>
      <c r="F3" s="150"/>
      <c r="G3" s="150"/>
      <c r="H3" s="150"/>
      <c r="I3" s="150"/>
      <c r="J3" s="21"/>
      <c r="K3" s="21"/>
      <c r="L3" s="174" t="s">
        <v>173</v>
      </c>
      <c r="M3" s="21"/>
      <c r="N3" s="21"/>
      <c r="O3" s="21"/>
      <c r="P3" s="21"/>
      <c r="Q3" s="21"/>
      <c r="R3" s="140"/>
      <c r="S3" s="174"/>
      <c r="T3" s="174" t="s">
        <v>177</v>
      </c>
      <c r="U3" s="21"/>
      <c r="AD3" s="173" t="s">
        <v>178</v>
      </c>
    </row>
    <row r="4" spans="1:67" x14ac:dyDescent="0.15">
      <c r="A4" s="24"/>
      <c r="B4" s="25"/>
      <c r="C4" s="26" t="s">
        <v>4</v>
      </c>
      <c r="D4" s="27"/>
      <c r="E4" s="28"/>
      <c r="F4" s="77" t="s">
        <v>125</v>
      </c>
      <c r="G4" s="77" t="s">
        <v>126</v>
      </c>
      <c r="H4" s="77" t="s">
        <v>127</v>
      </c>
      <c r="I4" s="77" t="s">
        <v>128</v>
      </c>
      <c r="J4" s="77" t="s">
        <v>129</v>
      </c>
      <c r="K4" s="77" t="s">
        <v>130</v>
      </c>
      <c r="L4" s="77" t="s">
        <v>131</v>
      </c>
      <c r="M4" s="77" t="s">
        <v>132</v>
      </c>
      <c r="N4" s="77" t="s">
        <v>133</v>
      </c>
      <c r="O4" s="77" t="s">
        <v>134</v>
      </c>
      <c r="P4" s="77" t="s">
        <v>135</v>
      </c>
      <c r="Q4" s="77" t="s">
        <v>136</v>
      </c>
      <c r="R4" s="77" t="s">
        <v>137</v>
      </c>
      <c r="S4" s="77" t="s">
        <v>138</v>
      </c>
      <c r="T4" s="77" t="s">
        <v>139</v>
      </c>
      <c r="U4" s="77" t="s">
        <v>140</v>
      </c>
      <c r="V4" s="77" t="s">
        <v>141</v>
      </c>
      <c r="W4" s="77" t="s">
        <v>142</v>
      </c>
      <c r="X4" s="77" t="s">
        <v>143</v>
      </c>
      <c r="Y4" s="77" t="s">
        <v>144</v>
      </c>
      <c r="Z4" s="77" t="s">
        <v>145</v>
      </c>
      <c r="AA4" s="77" t="s">
        <v>146</v>
      </c>
      <c r="AB4" s="77" t="s">
        <v>147</v>
      </c>
      <c r="AC4" s="77" t="s">
        <v>148</v>
      </c>
      <c r="AD4" s="77" t="s">
        <v>149</v>
      </c>
      <c r="AE4" s="77" t="s">
        <v>150</v>
      </c>
      <c r="AF4" s="77" t="s">
        <v>151</v>
      </c>
      <c r="AG4" s="77" t="s">
        <v>152</v>
      </c>
      <c r="AH4" s="77" t="s">
        <v>153</v>
      </c>
      <c r="AI4" s="77" t="s">
        <v>154</v>
      </c>
      <c r="AJ4" s="77" t="s">
        <v>155</v>
      </c>
      <c r="AK4" s="77" t="s">
        <v>156</v>
      </c>
      <c r="AL4" s="77" t="s">
        <v>157</v>
      </c>
      <c r="AM4" s="77" t="s">
        <v>158</v>
      </c>
      <c r="AN4" s="77" t="s">
        <v>159</v>
      </c>
      <c r="AO4" s="77" t="s">
        <v>160</v>
      </c>
      <c r="AP4" s="77" t="s">
        <v>161</v>
      </c>
      <c r="AQ4" s="77" t="s">
        <v>162</v>
      </c>
      <c r="AR4" s="77" t="s">
        <v>163</v>
      </c>
      <c r="AS4" s="77" t="s">
        <v>164</v>
      </c>
      <c r="AT4" s="77" t="s">
        <v>165</v>
      </c>
      <c r="AU4" s="77" t="s">
        <v>166</v>
      </c>
      <c r="AV4" s="77" t="s">
        <v>167</v>
      </c>
      <c r="AW4" s="176" t="s">
        <v>179</v>
      </c>
      <c r="AX4" s="176" t="s">
        <v>180</v>
      </c>
      <c r="AY4" s="176" t="s">
        <v>181</v>
      </c>
      <c r="AZ4" s="176" t="s">
        <v>182</v>
      </c>
      <c r="BA4" s="176" t="s">
        <v>183</v>
      </c>
    </row>
    <row r="5" spans="1:67" x14ac:dyDescent="0.15">
      <c r="A5" s="70"/>
      <c r="B5" s="22"/>
      <c r="C5" s="16"/>
      <c r="D5" s="23"/>
      <c r="F5" s="97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</row>
    <row r="6" spans="1:67" x14ac:dyDescent="0.15">
      <c r="A6" s="30" t="s">
        <v>55</v>
      </c>
      <c r="B6" s="7"/>
      <c r="C6" s="175">
        <f>SUM(P6:BA6)</f>
        <v>135</v>
      </c>
      <c r="D6" s="32"/>
      <c r="E6" s="69"/>
      <c r="F6" s="109">
        <v>0</v>
      </c>
      <c r="G6" s="109">
        <v>0</v>
      </c>
      <c r="H6" s="109">
        <v>0</v>
      </c>
      <c r="I6" s="109">
        <v>0</v>
      </c>
      <c r="J6" s="109">
        <v>0</v>
      </c>
      <c r="K6" s="109">
        <v>0</v>
      </c>
      <c r="L6" s="109">
        <v>0</v>
      </c>
      <c r="M6" s="109">
        <v>0</v>
      </c>
      <c r="N6" s="109">
        <v>0</v>
      </c>
      <c r="O6" s="109">
        <v>0</v>
      </c>
      <c r="P6" s="109">
        <v>0</v>
      </c>
      <c r="Q6" s="109">
        <v>0</v>
      </c>
      <c r="R6" s="109">
        <v>0</v>
      </c>
      <c r="S6" s="109"/>
      <c r="T6" s="109">
        <f>Assumptions!$C55</f>
        <v>9</v>
      </c>
      <c r="U6" s="109">
        <v>0</v>
      </c>
      <c r="V6" s="109"/>
      <c r="W6" s="109">
        <f>Assumptions!$C56</f>
        <v>12</v>
      </c>
      <c r="X6" s="109">
        <v>0</v>
      </c>
      <c r="Y6" s="109"/>
      <c r="Z6" s="109">
        <f>Assumptions!$C56</f>
        <v>12</v>
      </c>
      <c r="AA6" s="109">
        <v>0</v>
      </c>
      <c r="AB6" s="109"/>
      <c r="AC6" s="109">
        <f>Assumptions!$C56</f>
        <v>12</v>
      </c>
      <c r="AD6" s="109">
        <v>0</v>
      </c>
      <c r="AE6" s="109"/>
      <c r="AF6" s="109">
        <f>Assumptions!$C56</f>
        <v>12</v>
      </c>
      <c r="AG6" s="109">
        <v>0</v>
      </c>
      <c r="AH6" s="109"/>
      <c r="AI6" s="109">
        <f>Assumptions!$C56</f>
        <v>12</v>
      </c>
      <c r="AJ6" s="109">
        <v>0</v>
      </c>
      <c r="AK6" s="109"/>
      <c r="AL6" s="109">
        <f>Assumptions!$C56</f>
        <v>12</v>
      </c>
      <c r="AM6" s="109">
        <v>0</v>
      </c>
      <c r="AN6" s="109"/>
      <c r="AO6" s="109">
        <f>Assumptions!$C56</f>
        <v>12</v>
      </c>
      <c r="AP6" s="109">
        <v>0</v>
      </c>
      <c r="AQ6" s="109"/>
      <c r="AR6" s="109">
        <f>Assumptions!$C56</f>
        <v>12</v>
      </c>
      <c r="AS6" s="109">
        <v>0</v>
      </c>
      <c r="AT6" s="109"/>
      <c r="AU6" s="109">
        <f>Assumptions!$C56</f>
        <v>12</v>
      </c>
      <c r="AV6" s="109">
        <v>0</v>
      </c>
      <c r="AW6" s="109"/>
      <c r="AX6" s="109">
        <f>Assumptions!$C56</f>
        <v>12</v>
      </c>
      <c r="AY6" s="109"/>
      <c r="AZ6" s="109">
        <v>0</v>
      </c>
      <c r="BA6" s="109">
        <v>6</v>
      </c>
      <c r="BB6" s="109"/>
      <c r="BC6" s="109"/>
      <c r="BD6" s="109"/>
      <c r="BE6" s="109"/>
      <c r="BF6" s="109"/>
      <c r="BG6" s="109"/>
      <c r="BH6" s="109"/>
    </row>
    <row r="7" spans="1:67" x14ac:dyDescent="0.15">
      <c r="A7" s="10" t="s">
        <v>88</v>
      </c>
      <c r="B7" s="7"/>
      <c r="C7" s="11">
        <v>135</v>
      </c>
      <c r="D7" s="32"/>
      <c r="E7" s="33"/>
      <c r="F7" s="110">
        <v>0</v>
      </c>
      <c r="G7" s="110">
        <f>F7+G6</f>
        <v>0</v>
      </c>
      <c r="H7" s="110">
        <f t="shared" ref="H7:BO7" si="0">G7+H6</f>
        <v>0</v>
      </c>
      <c r="I7" s="110">
        <f t="shared" si="0"/>
        <v>0</v>
      </c>
      <c r="J7" s="110">
        <f t="shared" si="0"/>
        <v>0</v>
      </c>
      <c r="K7" s="110">
        <f t="shared" si="0"/>
        <v>0</v>
      </c>
      <c r="L7" s="110">
        <f t="shared" si="0"/>
        <v>0</v>
      </c>
      <c r="M7" s="110">
        <f t="shared" si="0"/>
        <v>0</v>
      </c>
      <c r="N7" s="110">
        <f t="shared" si="0"/>
        <v>0</v>
      </c>
      <c r="O7" s="110">
        <f t="shared" si="0"/>
        <v>0</v>
      </c>
      <c r="P7" s="110">
        <f t="shared" si="0"/>
        <v>0</v>
      </c>
      <c r="Q7" s="110">
        <f t="shared" si="0"/>
        <v>0</v>
      </c>
      <c r="R7" s="110">
        <f t="shared" si="0"/>
        <v>0</v>
      </c>
      <c r="S7" s="110">
        <f t="shared" si="0"/>
        <v>0</v>
      </c>
      <c r="T7" s="110">
        <f t="shared" si="0"/>
        <v>9</v>
      </c>
      <c r="U7" s="110">
        <f t="shared" si="0"/>
        <v>9</v>
      </c>
      <c r="V7" s="110">
        <f t="shared" si="0"/>
        <v>9</v>
      </c>
      <c r="W7" s="110">
        <f t="shared" si="0"/>
        <v>21</v>
      </c>
      <c r="X7" s="110">
        <f t="shared" si="0"/>
        <v>21</v>
      </c>
      <c r="Y7" s="110">
        <f t="shared" si="0"/>
        <v>21</v>
      </c>
      <c r="Z7" s="110">
        <f t="shared" si="0"/>
        <v>33</v>
      </c>
      <c r="AA7" s="110">
        <f t="shared" si="0"/>
        <v>33</v>
      </c>
      <c r="AB7" s="110">
        <f t="shared" si="0"/>
        <v>33</v>
      </c>
      <c r="AC7" s="110">
        <f t="shared" si="0"/>
        <v>45</v>
      </c>
      <c r="AD7" s="110">
        <f t="shared" si="0"/>
        <v>45</v>
      </c>
      <c r="AE7" s="110">
        <f t="shared" si="0"/>
        <v>45</v>
      </c>
      <c r="AF7" s="110">
        <f t="shared" si="0"/>
        <v>57</v>
      </c>
      <c r="AG7" s="110">
        <f t="shared" si="0"/>
        <v>57</v>
      </c>
      <c r="AH7" s="110">
        <f t="shared" si="0"/>
        <v>57</v>
      </c>
      <c r="AI7" s="110">
        <f t="shared" si="0"/>
        <v>69</v>
      </c>
      <c r="AJ7" s="110">
        <f t="shared" si="0"/>
        <v>69</v>
      </c>
      <c r="AK7" s="110">
        <f t="shared" si="0"/>
        <v>69</v>
      </c>
      <c r="AL7" s="110">
        <f t="shared" si="0"/>
        <v>81</v>
      </c>
      <c r="AM7" s="110">
        <f t="shared" si="0"/>
        <v>81</v>
      </c>
      <c r="AN7" s="110">
        <f t="shared" si="0"/>
        <v>81</v>
      </c>
      <c r="AO7" s="110">
        <f t="shared" si="0"/>
        <v>93</v>
      </c>
      <c r="AP7" s="110">
        <f t="shared" si="0"/>
        <v>93</v>
      </c>
      <c r="AQ7" s="110">
        <f t="shared" si="0"/>
        <v>93</v>
      </c>
      <c r="AR7" s="110">
        <f t="shared" si="0"/>
        <v>105</v>
      </c>
      <c r="AS7" s="110">
        <f t="shared" si="0"/>
        <v>105</v>
      </c>
      <c r="AT7" s="110">
        <f t="shared" si="0"/>
        <v>105</v>
      </c>
      <c r="AU7" s="110">
        <f t="shared" si="0"/>
        <v>117</v>
      </c>
      <c r="AV7" s="110">
        <f t="shared" si="0"/>
        <v>117</v>
      </c>
      <c r="AW7" s="110">
        <f t="shared" si="0"/>
        <v>117</v>
      </c>
      <c r="AX7" s="110">
        <f t="shared" si="0"/>
        <v>129</v>
      </c>
      <c r="AY7" s="110">
        <v>129</v>
      </c>
      <c r="AZ7" s="110">
        <v>129</v>
      </c>
      <c r="BA7" s="110">
        <v>135</v>
      </c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</row>
    <row r="8" spans="1:67" x14ac:dyDescent="0.15">
      <c r="A8" s="10"/>
      <c r="B8" s="7"/>
      <c r="C8" s="34"/>
      <c r="D8" s="32"/>
      <c r="E8" s="33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</row>
    <row r="9" spans="1:67" x14ac:dyDescent="0.15">
      <c r="A9" s="70"/>
      <c r="B9" s="7"/>
      <c r="C9" s="34"/>
      <c r="D9" s="32"/>
      <c r="E9" s="131" t="s">
        <v>169</v>
      </c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>
        <v>0</v>
      </c>
      <c r="S9" s="110"/>
      <c r="T9" s="110"/>
      <c r="U9" s="110">
        <v>1</v>
      </c>
      <c r="V9" s="110">
        <f>U9+1</f>
        <v>2</v>
      </c>
      <c r="W9" s="110">
        <f t="shared" ref="W9:BA9" si="1">V9+1</f>
        <v>3</v>
      </c>
      <c r="X9" s="110">
        <f t="shared" si="1"/>
        <v>4</v>
      </c>
      <c r="Y9" s="110">
        <f t="shared" si="1"/>
        <v>5</v>
      </c>
      <c r="Z9" s="110">
        <f t="shared" si="1"/>
        <v>6</v>
      </c>
      <c r="AA9" s="110">
        <f t="shared" si="1"/>
        <v>7</v>
      </c>
      <c r="AB9" s="110">
        <f t="shared" si="1"/>
        <v>8</v>
      </c>
      <c r="AC9" s="110">
        <f t="shared" si="1"/>
        <v>9</v>
      </c>
      <c r="AD9" s="110">
        <f t="shared" si="1"/>
        <v>10</v>
      </c>
      <c r="AE9" s="110">
        <f t="shared" si="1"/>
        <v>11</v>
      </c>
      <c r="AF9" s="110">
        <f t="shared" si="1"/>
        <v>12</v>
      </c>
      <c r="AG9" s="110">
        <f t="shared" si="1"/>
        <v>13</v>
      </c>
      <c r="AH9" s="110">
        <f t="shared" si="1"/>
        <v>14</v>
      </c>
      <c r="AI9" s="110">
        <f t="shared" si="1"/>
        <v>15</v>
      </c>
      <c r="AJ9" s="110">
        <f t="shared" si="1"/>
        <v>16</v>
      </c>
      <c r="AK9" s="110">
        <f t="shared" si="1"/>
        <v>17</v>
      </c>
      <c r="AL9" s="110">
        <f t="shared" si="1"/>
        <v>18</v>
      </c>
      <c r="AM9" s="110">
        <f t="shared" si="1"/>
        <v>19</v>
      </c>
      <c r="AN9" s="110">
        <f t="shared" si="1"/>
        <v>20</v>
      </c>
      <c r="AO9" s="110">
        <f t="shared" si="1"/>
        <v>21</v>
      </c>
      <c r="AP9" s="110">
        <f t="shared" si="1"/>
        <v>22</v>
      </c>
      <c r="AQ9" s="110">
        <f t="shared" si="1"/>
        <v>23</v>
      </c>
      <c r="AR9" s="110">
        <f t="shared" si="1"/>
        <v>24</v>
      </c>
      <c r="AS9" s="110">
        <f t="shared" si="1"/>
        <v>25</v>
      </c>
      <c r="AT9" s="110">
        <f t="shared" si="1"/>
        <v>26</v>
      </c>
      <c r="AU9" s="110">
        <f t="shared" si="1"/>
        <v>27</v>
      </c>
      <c r="AV9" s="110">
        <f t="shared" si="1"/>
        <v>28</v>
      </c>
      <c r="AW9" s="110">
        <f t="shared" si="1"/>
        <v>29</v>
      </c>
      <c r="AX9" s="110">
        <f t="shared" si="1"/>
        <v>30</v>
      </c>
      <c r="AY9" s="110">
        <f t="shared" si="1"/>
        <v>31</v>
      </c>
      <c r="AZ9" s="110">
        <f t="shared" si="1"/>
        <v>32</v>
      </c>
      <c r="BA9" s="110">
        <f t="shared" si="1"/>
        <v>33</v>
      </c>
    </row>
    <row r="10" spans="1:67" x14ac:dyDescent="0.15">
      <c r="A10" s="133" t="s">
        <v>111</v>
      </c>
      <c r="B10" s="7"/>
      <c r="C10" s="175">
        <f>SUM(P10:BA10)</f>
        <v>11610000</v>
      </c>
      <c r="D10" s="32"/>
      <c r="E10" s="33"/>
      <c r="F10" s="111">
        <f>F6*Assumptions!$C30</f>
        <v>0</v>
      </c>
      <c r="G10" s="111">
        <f>G6*Assumptions!$C30</f>
        <v>0</v>
      </c>
      <c r="H10" s="111">
        <f>H6*Assumptions!$C30</f>
        <v>0</v>
      </c>
      <c r="I10" s="111">
        <f>I6*Assumptions!$C30</f>
        <v>0</v>
      </c>
      <c r="J10" s="111">
        <f>J6*Assumptions!$C30</f>
        <v>0</v>
      </c>
      <c r="K10" s="111">
        <f>K6*Assumptions!$C30</f>
        <v>0</v>
      </c>
      <c r="L10" s="111">
        <f>L6*Assumptions!$C30</f>
        <v>0</v>
      </c>
      <c r="M10" s="111">
        <f>M6*Assumptions!$C30</f>
        <v>0</v>
      </c>
      <c r="N10" s="111">
        <f>N6*Assumptions!$C30</f>
        <v>0</v>
      </c>
      <c r="O10" s="111">
        <f>O6*Assumptions!$C30</f>
        <v>0</v>
      </c>
      <c r="P10" s="111">
        <f>P6*Assumptions!$C30</f>
        <v>0</v>
      </c>
      <c r="Q10" s="111">
        <f>Q6*Assumptions!$C30</f>
        <v>0</v>
      </c>
      <c r="R10" s="111">
        <f>R6*Assumptions!$C30</f>
        <v>0</v>
      </c>
      <c r="S10" s="111">
        <f>S6*Assumptions!$C30</f>
        <v>0</v>
      </c>
      <c r="T10" s="111">
        <f>T6*Assumptions!$C30</f>
        <v>774000</v>
      </c>
      <c r="U10" s="111">
        <f>U6*Assumptions!$C30</f>
        <v>0</v>
      </c>
      <c r="V10" s="111">
        <f>V6*Assumptions!$C30</f>
        <v>0</v>
      </c>
      <c r="W10" s="111">
        <f>W6*Assumptions!$C30</f>
        <v>1032000</v>
      </c>
      <c r="X10" s="111">
        <f>X6*Assumptions!$C30</f>
        <v>0</v>
      </c>
      <c r="Y10" s="111">
        <f>Y6*Assumptions!$C30</f>
        <v>0</v>
      </c>
      <c r="Z10" s="111">
        <f>Z6*Assumptions!$C30</f>
        <v>1032000</v>
      </c>
      <c r="AA10" s="111">
        <f>AA6*Assumptions!$C30</f>
        <v>0</v>
      </c>
      <c r="AB10" s="111">
        <f>AB6*Assumptions!$C30</f>
        <v>0</v>
      </c>
      <c r="AC10" s="111">
        <f>AC6*Assumptions!$C30</f>
        <v>1032000</v>
      </c>
      <c r="AD10" s="111">
        <f>AD6*Assumptions!$C30</f>
        <v>0</v>
      </c>
      <c r="AE10" s="111">
        <f>AE6*Assumptions!$C30</f>
        <v>0</v>
      </c>
      <c r="AF10" s="111">
        <f>AF6*Assumptions!$C30</f>
        <v>1032000</v>
      </c>
      <c r="AG10" s="111">
        <f>AG6*Assumptions!$C30</f>
        <v>0</v>
      </c>
      <c r="AH10" s="111">
        <f>AH6*Assumptions!$C30</f>
        <v>0</v>
      </c>
      <c r="AI10" s="111">
        <f>AI6*Assumptions!$C30</f>
        <v>1032000</v>
      </c>
      <c r="AJ10" s="111">
        <f>AJ6*Assumptions!$C30</f>
        <v>0</v>
      </c>
      <c r="AK10" s="111">
        <f>AK6*Assumptions!$C30</f>
        <v>0</v>
      </c>
      <c r="AL10" s="111">
        <f>AL6*Assumptions!$C30</f>
        <v>1032000</v>
      </c>
      <c r="AM10" s="111">
        <f>AM6*Assumptions!$C30</f>
        <v>0</v>
      </c>
      <c r="AN10" s="111">
        <f>AN6*Assumptions!$C30</f>
        <v>0</v>
      </c>
      <c r="AO10" s="111">
        <f>AO6*Assumptions!$C30</f>
        <v>1032000</v>
      </c>
      <c r="AP10" s="111">
        <f>AP6*Assumptions!$C30</f>
        <v>0</v>
      </c>
      <c r="AQ10" s="111">
        <f>AQ6*Assumptions!$C30</f>
        <v>0</v>
      </c>
      <c r="AR10" s="111">
        <f>AR6*Assumptions!$C30</f>
        <v>1032000</v>
      </c>
      <c r="AS10" s="111">
        <f>AS6*Assumptions!$C30</f>
        <v>0</v>
      </c>
      <c r="AT10" s="111">
        <f>AT6*Assumptions!$C30</f>
        <v>0</v>
      </c>
      <c r="AU10" s="111">
        <f>AU6*Assumptions!$C30</f>
        <v>1032000</v>
      </c>
      <c r="AV10" s="111">
        <f>AV6*Assumptions!$C30</f>
        <v>0</v>
      </c>
      <c r="AW10" s="111">
        <f>AW6*Assumptions!$C30</f>
        <v>0</v>
      </c>
      <c r="AX10" s="111">
        <f>AX6*Assumptions!$C30</f>
        <v>1032000</v>
      </c>
      <c r="AY10" s="111">
        <f>AY6*Assumptions!$C30</f>
        <v>0</v>
      </c>
      <c r="AZ10" s="111">
        <f>AZ6*Assumptions!$C30</f>
        <v>0</v>
      </c>
      <c r="BA10" s="111">
        <f>BA6*Assumptions!$C30</f>
        <v>516000</v>
      </c>
    </row>
    <row r="11" spans="1:67" x14ac:dyDescent="0.15">
      <c r="A11" s="133" t="s">
        <v>89</v>
      </c>
      <c r="B11" s="7"/>
      <c r="C11" s="175">
        <f>SUM(P11:BA11)</f>
        <v>1248720</v>
      </c>
      <c r="D11" s="32"/>
      <c r="E11" s="33"/>
      <c r="F11" s="111">
        <v>0</v>
      </c>
      <c r="G11" s="111">
        <v>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111">
        <v>0</v>
      </c>
      <c r="O11" s="111">
        <v>0</v>
      </c>
      <c r="P11" s="111">
        <v>0</v>
      </c>
      <c r="Q11" s="111">
        <v>0</v>
      </c>
      <c r="R11" s="111">
        <v>0</v>
      </c>
      <c r="S11" s="111">
        <v>0</v>
      </c>
      <c r="T11" s="111">
        <v>0</v>
      </c>
      <c r="U11" s="111">
        <v>0</v>
      </c>
      <c r="V11" s="111">
        <v>0</v>
      </c>
      <c r="W11" s="111">
        <f>W10*Assumptions!$C46*W9/12</f>
        <v>20640</v>
      </c>
      <c r="X11" s="111">
        <v>0</v>
      </c>
      <c r="Y11" s="111">
        <v>0</v>
      </c>
      <c r="Z11" s="111">
        <f>Z10*Assumptions!$C46*Z9/12</f>
        <v>41280</v>
      </c>
      <c r="AA11" s="111">
        <v>0</v>
      </c>
      <c r="AB11" s="111">
        <v>0</v>
      </c>
      <c r="AC11" s="111">
        <f>AC10*Assumptions!$C46*AC9/12</f>
        <v>61920</v>
      </c>
      <c r="AD11" s="111">
        <f>AD10*Assumptions!$C46*AD9/12</f>
        <v>0</v>
      </c>
      <c r="AE11" s="111">
        <f>AE10*Assumptions!$C46*AE9/12</f>
        <v>0</v>
      </c>
      <c r="AF11" s="111">
        <f>AF10*Assumptions!$C46*AF9/12</f>
        <v>82560</v>
      </c>
      <c r="AG11" s="111">
        <f>AG10*Assumptions!$C46*AG9/12</f>
        <v>0</v>
      </c>
      <c r="AH11" s="111">
        <f>AH10*Assumptions!$C46*AH9/12</f>
        <v>0</v>
      </c>
      <c r="AI11" s="111">
        <f>AI10*Assumptions!$C46*AI9/12</f>
        <v>103200</v>
      </c>
      <c r="AJ11" s="111">
        <f>AJ10*Assumptions!$C46*AJ9/12</f>
        <v>0</v>
      </c>
      <c r="AK11" s="111">
        <f>AK10*Assumptions!$C46*AK9/12</f>
        <v>0</v>
      </c>
      <c r="AL11" s="111">
        <f>AL10*Assumptions!$C46*AL9/12</f>
        <v>123840</v>
      </c>
      <c r="AM11" s="111">
        <f>AM10*Assumptions!$C46*AM9/12</f>
        <v>0</v>
      </c>
      <c r="AN11" s="111">
        <f>AN10*Assumptions!$C46*AN9/12</f>
        <v>0</v>
      </c>
      <c r="AO11" s="111">
        <f>AO10*Assumptions!$C46*AO9/12</f>
        <v>144480</v>
      </c>
      <c r="AP11" s="111">
        <f>AP10*Assumptions!$C46*AP9/12</f>
        <v>0</v>
      </c>
      <c r="AQ11" s="111">
        <f>AQ10*Assumptions!$C46*AQ9/12</f>
        <v>0</v>
      </c>
      <c r="AR11" s="111">
        <f>AR10*Assumptions!$C46*AR9/12</f>
        <v>165120</v>
      </c>
      <c r="AS11" s="111">
        <f>AS10*Assumptions!$C46*AS9/12</f>
        <v>0</v>
      </c>
      <c r="AT11" s="111">
        <f>AT10*Assumptions!$C46*AT9/12</f>
        <v>0</v>
      </c>
      <c r="AU11" s="111">
        <f>AU10*Assumptions!$C46*AU9/12</f>
        <v>185760</v>
      </c>
      <c r="AV11" s="111">
        <f>AV10*Assumptions!$C46*AV9/12</f>
        <v>0</v>
      </c>
      <c r="AW11" s="111">
        <f>AW10*Assumptions!$C46*AW9/12</f>
        <v>0</v>
      </c>
      <c r="AX11" s="111">
        <f>AX10*Assumptions!$C46*AX9/12</f>
        <v>206400</v>
      </c>
      <c r="AY11" s="111">
        <f>AY10*Assumptions!$C46*AY9/12</f>
        <v>0</v>
      </c>
      <c r="AZ11" s="111">
        <f>AZ10*Assumptions!$C46*AZ9/12</f>
        <v>0</v>
      </c>
      <c r="BA11" s="111">
        <f>BA10*Assumptions!$C46*BA9/12</f>
        <v>113520</v>
      </c>
    </row>
    <row r="12" spans="1:67" x14ac:dyDescent="0.15">
      <c r="A12" s="10" t="s">
        <v>23</v>
      </c>
      <c r="B12" s="7"/>
      <c r="C12" s="11">
        <f>SUM(F12:BA12)</f>
        <v>12858720</v>
      </c>
      <c r="D12" s="32"/>
      <c r="E12" s="33"/>
      <c r="F12" s="112">
        <f t="shared" ref="F12:Q12" si="2">SUM(F10:F11)</f>
        <v>0</v>
      </c>
      <c r="G12" s="112">
        <f t="shared" si="2"/>
        <v>0</v>
      </c>
      <c r="H12" s="112">
        <f t="shared" si="2"/>
        <v>0</v>
      </c>
      <c r="I12" s="112">
        <f t="shared" si="2"/>
        <v>0</v>
      </c>
      <c r="J12" s="112">
        <f t="shared" si="2"/>
        <v>0</v>
      </c>
      <c r="K12" s="112">
        <f t="shared" si="2"/>
        <v>0</v>
      </c>
      <c r="L12" s="112">
        <f t="shared" si="2"/>
        <v>0</v>
      </c>
      <c r="M12" s="112">
        <f t="shared" si="2"/>
        <v>0</v>
      </c>
      <c r="N12" s="112">
        <f t="shared" si="2"/>
        <v>0</v>
      </c>
      <c r="O12" s="112">
        <f t="shared" si="2"/>
        <v>0</v>
      </c>
      <c r="P12" s="112">
        <f t="shared" si="2"/>
        <v>0</v>
      </c>
      <c r="Q12" s="112">
        <f t="shared" si="2"/>
        <v>0</v>
      </c>
      <c r="R12" s="112">
        <f>SUM(R10:R11)</f>
        <v>0</v>
      </c>
      <c r="S12" s="112">
        <f t="shared" ref="S12:U12" si="3">SUM(S10:S11)</f>
        <v>0</v>
      </c>
      <c r="T12" s="112">
        <f t="shared" si="3"/>
        <v>774000</v>
      </c>
      <c r="U12" s="112">
        <f t="shared" si="3"/>
        <v>0</v>
      </c>
      <c r="V12" s="112">
        <f t="shared" ref="V12" si="4">SUM(V10:V11)</f>
        <v>0</v>
      </c>
      <c r="W12" s="112">
        <f t="shared" ref="W12" si="5">SUM(W10:W11)</f>
        <v>1052640</v>
      </c>
      <c r="X12" s="112">
        <f t="shared" ref="X12" si="6">SUM(X10:X11)</f>
        <v>0</v>
      </c>
      <c r="Y12" s="112">
        <f t="shared" ref="Y12" si="7">SUM(Y10:Y11)</f>
        <v>0</v>
      </c>
      <c r="Z12" s="112">
        <f t="shared" ref="Z12" si="8">SUM(Z10:Z11)</f>
        <v>1073280</v>
      </c>
      <c r="AA12" s="112">
        <f t="shared" ref="AA12" si="9">SUM(AA10:AA11)</f>
        <v>0</v>
      </c>
      <c r="AB12" s="112">
        <f t="shared" ref="AB12" si="10">SUM(AB10:AB11)</f>
        <v>0</v>
      </c>
      <c r="AC12" s="112">
        <f t="shared" ref="AC12" si="11">SUM(AC10:AC11)</f>
        <v>1093920</v>
      </c>
      <c r="AD12" s="112">
        <f t="shared" ref="AD12" si="12">SUM(AD10:AD11)</f>
        <v>0</v>
      </c>
      <c r="AE12" s="112">
        <f t="shared" ref="AE12" si="13">SUM(AE10:AE11)</f>
        <v>0</v>
      </c>
      <c r="AF12" s="112">
        <f t="shared" ref="AF12" si="14">SUM(AF10:AF11)</f>
        <v>1114560</v>
      </c>
      <c r="AG12" s="112">
        <f t="shared" ref="AG12" si="15">SUM(AG10:AG11)</f>
        <v>0</v>
      </c>
      <c r="AH12" s="112">
        <f t="shared" ref="AH12" si="16">SUM(AH10:AH11)</f>
        <v>0</v>
      </c>
      <c r="AI12" s="112">
        <f t="shared" ref="AI12" si="17">SUM(AI10:AI11)</f>
        <v>1135200</v>
      </c>
      <c r="AJ12" s="112">
        <f t="shared" ref="AJ12" si="18">SUM(AJ10:AJ11)</f>
        <v>0</v>
      </c>
      <c r="AK12" s="112">
        <f t="shared" ref="AK12" si="19">SUM(AK10:AK11)</f>
        <v>0</v>
      </c>
      <c r="AL12" s="112">
        <f t="shared" ref="AL12" si="20">SUM(AL10:AL11)</f>
        <v>1155840</v>
      </c>
      <c r="AM12" s="112">
        <f t="shared" ref="AM12" si="21">SUM(AM10:AM11)</f>
        <v>0</v>
      </c>
      <c r="AN12" s="112">
        <f t="shared" ref="AN12" si="22">SUM(AN10:AN11)</f>
        <v>0</v>
      </c>
      <c r="AO12" s="112">
        <f t="shared" ref="AO12" si="23">SUM(AO10:AO11)</f>
        <v>1176480</v>
      </c>
      <c r="AP12" s="112">
        <f t="shared" ref="AP12" si="24">SUM(AP10:AP11)</f>
        <v>0</v>
      </c>
      <c r="AQ12" s="112">
        <f t="shared" ref="AQ12" si="25">SUM(AQ10:AQ11)</f>
        <v>0</v>
      </c>
      <c r="AR12" s="112">
        <f t="shared" ref="AR12" si="26">SUM(AR10:AR11)</f>
        <v>1197120</v>
      </c>
      <c r="AS12" s="112">
        <f t="shared" ref="AS12" si="27">SUM(AS10:AS11)</f>
        <v>0</v>
      </c>
      <c r="AT12" s="112">
        <f t="shared" ref="AT12" si="28">SUM(AT10:AT11)</f>
        <v>0</v>
      </c>
      <c r="AU12" s="112">
        <f t="shared" ref="AU12:BA12" si="29">SUM(AU10:AU11)</f>
        <v>1217760</v>
      </c>
      <c r="AV12" s="112">
        <f t="shared" si="29"/>
        <v>0</v>
      </c>
      <c r="AW12" s="112">
        <f t="shared" si="29"/>
        <v>0</v>
      </c>
      <c r="AX12" s="112">
        <f t="shared" si="29"/>
        <v>1238400</v>
      </c>
      <c r="AY12" s="112">
        <f t="shared" si="29"/>
        <v>0</v>
      </c>
      <c r="AZ12" s="112">
        <f t="shared" si="29"/>
        <v>0</v>
      </c>
      <c r="BA12" s="112">
        <f t="shared" si="29"/>
        <v>629520</v>
      </c>
    </row>
    <row r="13" spans="1:67" x14ac:dyDescent="0.15">
      <c r="A13" s="35"/>
      <c r="B13" s="7"/>
      <c r="C13" s="31"/>
      <c r="D13" s="32"/>
      <c r="E13" s="33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</row>
    <row r="16" spans="1:67" x14ac:dyDescent="0.15">
      <c r="F16" s="89"/>
      <c r="G16" s="89"/>
      <c r="H16" s="89"/>
      <c r="I16" s="89"/>
    </row>
    <row r="19" spans="18:21" x14ac:dyDescent="0.15">
      <c r="R19" s="114"/>
      <c r="S19" s="114"/>
      <c r="U19" s="114"/>
    </row>
  </sheetData>
  <phoneticPr fontId="23" type="noConversion"/>
  <pageMargins left="0.75" right="0.75" top="1" bottom="1" header="0.5" footer="0.5"/>
  <pageSetup paperSize="5" scale="47" fitToWidth="2" orientation="landscape" r:id="rId1"/>
  <headerFooter alignWithMargins="0">
    <oddFooter>&amp;L&amp;F&amp;CPage &amp;P of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A71"/>
  <sheetViews>
    <sheetView tabSelected="1" zoomScale="130" zoomScaleNormal="130" workbookViewId="0">
      <pane xSplit="4" ySplit="3" topLeftCell="E18" activePane="bottomRight" state="frozen"/>
      <selection pane="topRight" activeCell="E1" sqref="E1"/>
      <selection pane="bottomLeft" activeCell="A4" sqref="A4"/>
      <selection pane="bottomRight" activeCell="G68" sqref="G68"/>
    </sheetView>
  </sheetViews>
  <sheetFormatPr baseColWidth="10" defaultColWidth="8.83203125" defaultRowHeight="13" x14ac:dyDescent="0.15"/>
  <cols>
    <col min="1" max="1" width="43.1640625" bestFit="1" customWidth="1"/>
    <col min="2" max="2" width="1.6640625" customWidth="1"/>
    <col min="3" max="3" width="12.83203125" customWidth="1"/>
    <col min="4" max="4" width="1.6640625" customWidth="1"/>
    <col min="5" max="8" width="13.33203125" customWidth="1"/>
    <col min="9" max="21" width="11.6640625" customWidth="1"/>
    <col min="22" max="48" width="11.83203125" customWidth="1"/>
    <col min="49" max="49" width="10.83203125" customWidth="1"/>
    <col min="50" max="50" width="10.1640625" bestFit="1" customWidth="1"/>
    <col min="51" max="51" width="11.33203125" customWidth="1"/>
    <col min="52" max="52" width="13" customWidth="1"/>
    <col min="53" max="53" width="11.1640625" style="183" bestFit="1" customWidth="1"/>
  </cols>
  <sheetData>
    <row r="1" spans="1:53" x14ac:dyDescent="0.15">
      <c r="A1" s="132" t="s">
        <v>18</v>
      </c>
      <c r="C1" s="16"/>
      <c r="D1" s="16"/>
      <c r="E1" s="16"/>
      <c r="F1" s="16"/>
      <c r="G1" s="16"/>
      <c r="H1" s="16"/>
      <c r="I1" s="16"/>
      <c r="J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53" x14ac:dyDescent="0.15">
      <c r="A2" s="15"/>
      <c r="B2" s="18"/>
      <c r="C2" s="19"/>
      <c r="D2" s="20"/>
      <c r="F2" s="21"/>
      <c r="G2" s="21"/>
      <c r="H2" s="16"/>
      <c r="I2" s="16"/>
      <c r="J2" s="16"/>
      <c r="L2" s="171" t="s">
        <v>173</v>
      </c>
      <c r="M2" s="16"/>
      <c r="N2" s="16"/>
      <c r="O2" s="16"/>
      <c r="P2" s="16"/>
      <c r="Q2" s="16"/>
      <c r="R2" s="16"/>
      <c r="S2" s="171" t="s">
        <v>174</v>
      </c>
      <c r="T2" s="171" t="s">
        <v>175</v>
      </c>
      <c r="U2" s="16"/>
      <c r="AD2" s="173" t="s">
        <v>178</v>
      </c>
    </row>
    <row r="3" spans="1:53" x14ac:dyDescent="0.15">
      <c r="A3" s="70" t="str">
        <f>Assumptions!B5</f>
        <v>668 Sample: Kent Anderson DCF Model</v>
      </c>
      <c r="B3" s="25"/>
      <c r="C3" s="26" t="s">
        <v>4</v>
      </c>
      <c r="D3" s="27"/>
      <c r="E3" s="28"/>
      <c r="F3" s="77" t="s">
        <v>125</v>
      </c>
      <c r="G3" s="77" t="s">
        <v>126</v>
      </c>
      <c r="H3" s="77" t="s">
        <v>127</v>
      </c>
      <c r="I3" s="77" t="s">
        <v>128</v>
      </c>
      <c r="J3" s="77" t="s">
        <v>129</v>
      </c>
      <c r="K3" s="77" t="s">
        <v>130</v>
      </c>
      <c r="L3" s="77" t="s">
        <v>131</v>
      </c>
      <c r="M3" s="77" t="s">
        <v>132</v>
      </c>
      <c r="N3" s="77" t="s">
        <v>133</v>
      </c>
      <c r="O3" s="77" t="s">
        <v>134</v>
      </c>
      <c r="P3" s="77" t="s">
        <v>135</v>
      </c>
      <c r="Q3" s="77" t="s">
        <v>136</v>
      </c>
      <c r="R3" s="77" t="s">
        <v>137</v>
      </c>
      <c r="S3" s="77" t="s">
        <v>138</v>
      </c>
      <c r="T3" s="77" t="s">
        <v>139</v>
      </c>
      <c r="U3" s="77" t="s">
        <v>140</v>
      </c>
      <c r="V3" s="77" t="s">
        <v>141</v>
      </c>
      <c r="W3" s="77" t="s">
        <v>142</v>
      </c>
      <c r="X3" s="77" t="s">
        <v>143</v>
      </c>
      <c r="Y3" s="77" t="s">
        <v>144</v>
      </c>
      <c r="Z3" s="77" t="s">
        <v>145</v>
      </c>
      <c r="AA3" s="77" t="s">
        <v>146</v>
      </c>
      <c r="AB3" s="77" t="s">
        <v>147</v>
      </c>
      <c r="AC3" s="77" t="s">
        <v>148</v>
      </c>
      <c r="AD3" s="77" t="s">
        <v>149</v>
      </c>
      <c r="AE3" s="77" t="s">
        <v>150</v>
      </c>
      <c r="AF3" s="77" t="s">
        <v>151</v>
      </c>
      <c r="AG3" s="77" t="s">
        <v>152</v>
      </c>
      <c r="AH3" s="77" t="s">
        <v>153</v>
      </c>
      <c r="AI3" s="77" t="s">
        <v>154</v>
      </c>
      <c r="AJ3" s="77" t="s">
        <v>155</v>
      </c>
      <c r="AK3" s="77" t="s">
        <v>156</v>
      </c>
      <c r="AL3" s="77" t="s">
        <v>157</v>
      </c>
      <c r="AM3" s="77" t="s">
        <v>158</v>
      </c>
      <c r="AN3" s="77" t="s">
        <v>159</v>
      </c>
      <c r="AO3" s="77" t="s">
        <v>160</v>
      </c>
      <c r="AP3" s="77" t="s">
        <v>161</v>
      </c>
      <c r="AQ3" s="77" t="s">
        <v>162</v>
      </c>
      <c r="AR3" s="77" t="s">
        <v>163</v>
      </c>
      <c r="AS3" s="77" t="s">
        <v>164</v>
      </c>
      <c r="AT3" s="77" t="s">
        <v>165</v>
      </c>
      <c r="AU3" s="77" t="s">
        <v>166</v>
      </c>
      <c r="AV3" s="77" t="s">
        <v>167</v>
      </c>
      <c r="AW3" s="176" t="s">
        <v>179</v>
      </c>
      <c r="AX3" s="176" t="s">
        <v>184</v>
      </c>
      <c r="AY3" s="176" t="s">
        <v>181</v>
      </c>
      <c r="AZ3" s="176" t="s">
        <v>182</v>
      </c>
      <c r="BA3" s="179" t="s">
        <v>183</v>
      </c>
    </row>
    <row r="4" spans="1:53" x14ac:dyDescent="0.15">
      <c r="A4" s="36" t="s">
        <v>8</v>
      </c>
      <c r="B4" s="37"/>
      <c r="C4" s="38"/>
      <c r="D4" s="39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1"/>
      <c r="W4" s="41"/>
    </row>
    <row r="5" spans="1:53" x14ac:dyDescent="0.15">
      <c r="A5" s="42" t="s">
        <v>112</v>
      </c>
      <c r="B5" s="43"/>
      <c r="C5" s="111">
        <f>SUM(F5:BA5)</f>
        <v>12858720</v>
      </c>
      <c r="D5" s="115"/>
      <c r="E5" s="116"/>
      <c r="F5" s="111">
        <f>'Sales Proceeds'!F12</f>
        <v>0</v>
      </c>
      <c r="G5" s="111">
        <f>'Sales Proceeds'!G12</f>
        <v>0</v>
      </c>
      <c r="H5" s="111">
        <f>'Sales Proceeds'!H12</f>
        <v>0</v>
      </c>
      <c r="I5" s="111">
        <f>'Sales Proceeds'!I12</f>
        <v>0</v>
      </c>
      <c r="J5" s="111">
        <f>'Sales Proceeds'!J12</f>
        <v>0</v>
      </c>
      <c r="K5" s="111">
        <f>'Sales Proceeds'!K12</f>
        <v>0</v>
      </c>
      <c r="L5" s="111">
        <f>'Sales Proceeds'!L12</f>
        <v>0</v>
      </c>
      <c r="M5" s="111">
        <f>'Sales Proceeds'!M12</f>
        <v>0</v>
      </c>
      <c r="N5" s="111">
        <f>'Sales Proceeds'!N12</f>
        <v>0</v>
      </c>
      <c r="O5" s="111">
        <f>'Sales Proceeds'!O12</f>
        <v>0</v>
      </c>
      <c r="P5" s="111">
        <f>'Sales Proceeds'!P12</f>
        <v>0</v>
      </c>
      <c r="Q5" s="111">
        <f>'Sales Proceeds'!Q12</f>
        <v>0</v>
      </c>
      <c r="R5" s="111">
        <f>'Sales Proceeds'!R12</f>
        <v>0</v>
      </c>
      <c r="S5" s="111">
        <f>'Sales Proceeds'!S12</f>
        <v>0</v>
      </c>
      <c r="T5" s="111">
        <f>'Sales Proceeds'!T12</f>
        <v>774000</v>
      </c>
      <c r="U5" s="111">
        <f>'Sales Proceeds'!U12</f>
        <v>0</v>
      </c>
      <c r="V5" s="111">
        <f>'Sales Proceeds'!V12</f>
        <v>0</v>
      </c>
      <c r="W5" s="111">
        <f>'Sales Proceeds'!W12</f>
        <v>1052640</v>
      </c>
      <c r="X5" s="111">
        <f>'Sales Proceeds'!X12</f>
        <v>0</v>
      </c>
      <c r="Y5" s="111">
        <f>'Sales Proceeds'!Y12</f>
        <v>0</v>
      </c>
      <c r="Z5" s="111">
        <f>'Sales Proceeds'!Z12</f>
        <v>1073280</v>
      </c>
      <c r="AA5" s="111">
        <f>'Sales Proceeds'!AA12</f>
        <v>0</v>
      </c>
      <c r="AB5" s="111">
        <f>'Sales Proceeds'!AB12</f>
        <v>0</v>
      </c>
      <c r="AC5" s="111">
        <f>'Sales Proceeds'!AC12</f>
        <v>1093920</v>
      </c>
      <c r="AD5" s="111">
        <f>'Sales Proceeds'!AD12</f>
        <v>0</v>
      </c>
      <c r="AE5" s="111">
        <f>'Sales Proceeds'!AE12</f>
        <v>0</v>
      </c>
      <c r="AF5" s="111">
        <f>'Sales Proceeds'!AF12</f>
        <v>1114560</v>
      </c>
      <c r="AG5" s="111">
        <f>'Sales Proceeds'!AG12</f>
        <v>0</v>
      </c>
      <c r="AH5" s="111">
        <f>'Sales Proceeds'!AH12</f>
        <v>0</v>
      </c>
      <c r="AI5" s="111">
        <f>'Sales Proceeds'!AI12</f>
        <v>1135200</v>
      </c>
      <c r="AJ5" s="111">
        <f>'Sales Proceeds'!AJ12</f>
        <v>0</v>
      </c>
      <c r="AK5" s="111">
        <f>'Sales Proceeds'!AK12</f>
        <v>0</v>
      </c>
      <c r="AL5" s="111">
        <f>'Sales Proceeds'!AL12</f>
        <v>1155840</v>
      </c>
      <c r="AM5" s="111">
        <f>'Sales Proceeds'!AM12</f>
        <v>0</v>
      </c>
      <c r="AN5" s="111">
        <f>'Sales Proceeds'!AN12</f>
        <v>0</v>
      </c>
      <c r="AO5" s="111">
        <f>'Sales Proceeds'!AO12</f>
        <v>1176480</v>
      </c>
      <c r="AP5" s="111">
        <f>'Sales Proceeds'!AP12</f>
        <v>0</v>
      </c>
      <c r="AQ5" s="111">
        <f>'Sales Proceeds'!AQ12</f>
        <v>0</v>
      </c>
      <c r="AR5" s="111">
        <f>'Sales Proceeds'!AR12</f>
        <v>1197120</v>
      </c>
      <c r="AS5" s="111">
        <f>'Sales Proceeds'!AS12</f>
        <v>0</v>
      </c>
      <c r="AT5" s="111">
        <f>'Sales Proceeds'!AT12</f>
        <v>0</v>
      </c>
      <c r="AU5" s="111">
        <f>'Sales Proceeds'!AU12</f>
        <v>1217760</v>
      </c>
      <c r="AV5" s="111">
        <f>'Sales Proceeds'!AV12</f>
        <v>0</v>
      </c>
      <c r="AW5" s="111">
        <f>'Sales Proceeds'!AW12</f>
        <v>0</v>
      </c>
      <c r="AX5" s="111">
        <f>'Sales Proceeds'!AX12</f>
        <v>1238400</v>
      </c>
      <c r="AY5" s="111">
        <f>'Sales Proceeds'!AY12</f>
        <v>0</v>
      </c>
      <c r="AZ5" s="111">
        <f>'Sales Proceeds'!AZ12</f>
        <v>0</v>
      </c>
      <c r="BA5" s="180">
        <f>'Sales Proceeds'!BA12</f>
        <v>629520</v>
      </c>
    </row>
    <row r="6" spans="1:53" x14ac:dyDescent="0.15">
      <c r="A6" s="42" t="s">
        <v>92</v>
      </c>
      <c r="B6" s="43"/>
      <c r="C6" s="111">
        <f>SUM(F6:BA6)</f>
        <v>0</v>
      </c>
      <c r="D6" s="115"/>
      <c r="E6" s="117"/>
      <c r="F6" s="111">
        <v>0</v>
      </c>
      <c r="G6" s="111">
        <v>0</v>
      </c>
      <c r="H6" s="111">
        <v>0</v>
      </c>
      <c r="I6" s="111">
        <v>0</v>
      </c>
      <c r="J6" s="111">
        <v>0</v>
      </c>
      <c r="K6" s="111">
        <v>0</v>
      </c>
      <c r="L6" s="111">
        <v>0</v>
      </c>
      <c r="M6" s="111">
        <v>0</v>
      </c>
      <c r="N6" s="111">
        <v>0</v>
      </c>
      <c r="O6" s="111">
        <v>0</v>
      </c>
      <c r="P6" s="111">
        <v>0</v>
      </c>
      <c r="Q6" s="111">
        <v>0</v>
      </c>
      <c r="R6" s="111">
        <v>0</v>
      </c>
      <c r="S6" s="111">
        <v>0</v>
      </c>
      <c r="T6" s="111">
        <v>0</v>
      </c>
      <c r="U6" s="111">
        <v>0</v>
      </c>
      <c r="V6" s="111">
        <v>0</v>
      </c>
      <c r="W6" s="111">
        <v>0</v>
      </c>
      <c r="X6" s="111">
        <v>0</v>
      </c>
      <c r="Y6" s="111">
        <v>0</v>
      </c>
      <c r="Z6" s="111">
        <v>0</v>
      </c>
      <c r="AA6" s="111">
        <v>0</v>
      </c>
      <c r="AB6" s="111">
        <v>0</v>
      </c>
      <c r="AC6" s="111">
        <v>0</v>
      </c>
      <c r="AD6" s="111">
        <v>0</v>
      </c>
      <c r="AE6" s="111">
        <v>0</v>
      </c>
      <c r="AF6" s="111">
        <v>0</v>
      </c>
      <c r="AG6" s="111">
        <v>0</v>
      </c>
      <c r="AH6" s="111">
        <v>0</v>
      </c>
      <c r="AI6" s="111">
        <v>0</v>
      </c>
      <c r="AJ6" s="111">
        <v>0</v>
      </c>
      <c r="AK6" s="111">
        <v>0</v>
      </c>
      <c r="AL6" s="111">
        <v>0</v>
      </c>
      <c r="AM6" s="111">
        <v>0</v>
      </c>
      <c r="AN6" s="111">
        <v>0</v>
      </c>
      <c r="AO6" s="111">
        <v>0</v>
      </c>
      <c r="AP6" s="111">
        <v>0</v>
      </c>
      <c r="AQ6" s="111">
        <v>0</v>
      </c>
      <c r="AR6" s="111">
        <v>0</v>
      </c>
      <c r="AS6" s="111">
        <v>0</v>
      </c>
      <c r="AT6" s="111">
        <v>0</v>
      </c>
      <c r="AU6" s="111">
        <v>0</v>
      </c>
      <c r="AV6" s="111">
        <v>0</v>
      </c>
    </row>
    <row r="7" spans="1:53" x14ac:dyDescent="0.15">
      <c r="A7" s="42" t="s">
        <v>78</v>
      </c>
      <c r="B7" s="43"/>
      <c r="C7" s="111">
        <f>SUM(F7:BA7)</f>
        <v>0</v>
      </c>
      <c r="D7" s="115"/>
      <c r="E7" s="117"/>
      <c r="F7" s="111">
        <v>0</v>
      </c>
      <c r="G7" s="111">
        <v>0</v>
      </c>
      <c r="H7" s="111">
        <v>0</v>
      </c>
      <c r="I7" s="111">
        <v>0</v>
      </c>
      <c r="J7" s="111">
        <v>0</v>
      </c>
      <c r="K7" s="111">
        <v>0</v>
      </c>
      <c r="L7" s="111">
        <v>0</v>
      </c>
      <c r="M7" s="111">
        <v>0</v>
      </c>
      <c r="N7" s="111">
        <v>0</v>
      </c>
      <c r="O7" s="111">
        <v>0</v>
      </c>
      <c r="P7" s="111">
        <v>0</v>
      </c>
      <c r="Q7" s="111">
        <v>0</v>
      </c>
      <c r="R7" s="111">
        <v>0</v>
      </c>
      <c r="S7" s="111">
        <v>0</v>
      </c>
      <c r="T7" s="111">
        <v>0</v>
      </c>
      <c r="U7" s="111">
        <v>0</v>
      </c>
      <c r="V7" s="111">
        <v>0</v>
      </c>
      <c r="W7" s="111">
        <v>0</v>
      </c>
      <c r="X7" s="111">
        <v>0</v>
      </c>
      <c r="Y7" s="111">
        <v>0</v>
      </c>
      <c r="Z7" s="111">
        <v>0</v>
      </c>
      <c r="AA7" s="111">
        <v>0</v>
      </c>
      <c r="AB7" s="111">
        <v>0</v>
      </c>
      <c r="AC7" s="111">
        <v>0</v>
      </c>
      <c r="AD7" s="111">
        <v>0</v>
      </c>
      <c r="AE7" s="111">
        <v>0</v>
      </c>
      <c r="AF7" s="111">
        <v>0</v>
      </c>
      <c r="AG7" s="111">
        <v>0</v>
      </c>
      <c r="AH7" s="111">
        <v>0</v>
      </c>
      <c r="AI7" s="111">
        <v>0</v>
      </c>
      <c r="AJ7" s="111">
        <v>0</v>
      </c>
      <c r="AK7" s="111">
        <v>0</v>
      </c>
      <c r="AL7" s="111">
        <v>0</v>
      </c>
      <c r="AM7" s="111">
        <v>0</v>
      </c>
      <c r="AN7" s="111">
        <v>0</v>
      </c>
      <c r="AO7" s="111">
        <v>0</v>
      </c>
      <c r="AP7" s="111">
        <v>0</v>
      </c>
      <c r="AQ7" s="111">
        <v>0</v>
      </c>
      <c r="AR7" s="111">
        <v>0</v>
      </c>
      <c r="AS7" s="111">
        <v>0</v>
      </c>
      <c r="AT7" s="111">
        <v>0</v>
      </c>
      <c r="AU7" s="111">
        <v>0</v>
      </c>
      <c r="AV7" s="111">
        <v>0</v>
      </c>
    </row>
    <row r="8" spans="1:53" x14ac:dyDescent="0.15">
      <c r="A8" s="42" t="s">
        <v>93</v>
      </c>
      <c r="B8" s="43"/>
      <c r="C8" s="111">
        <f>SUM(F8:BA8)</f>
        <v>2798028.6412500003</v>
      </c>
      <c r="D8" s="115"/>
      <c r="E8" s="117"/>
      <c r="F8" s="111">
        <v>0</v>
      </c>
      <c r="G8" s="111">
        <v>0</v>
      </c>
      <c r="H8" s="111">
        <v>0</v>
      </c>
      <c r="I8" s="111">
        <v>0</v>
      </c>
      <c r="J8" s="111">
        <f>Assumptions!C54</f>
        <v>250000</v>
      </c>
      <c r="K8" s="111">
        <v>0</v>
      </c>
      <c r="L8" s="111">
        <f>Assumptions!K13-Assumptions!C54</f>
        <v>2548028.6412500003</v>
      </c>
      <c r="M8" s="111">
        <v>0</v>
      </c>
      <c r="N8" s="111">
        <v>0</v>
      </c>
      <c r="O8" s="111">
        <v>0</v>
      </c>
      <c r="P8" s="111">
        <v>0</v>
      </c>
      <c r="Q8" s="111">
        <v>0</v>
      </c>
      <c r="R8" s="111">
        <v>0</v>
      </c>
      <c r="S8" s="111">
        <v>0</v>
      </c>
      <c r="T8" s="111">
        <v>0</v>
      </c>
      <c r="U8" s="111">
        <v>0</v>
      </c>
      <c r="V8" s="111">
        <v>0</v>
      </c>
      <c r="W8" s="111">
        <v>0</v>
      </c>
      <c r="X8" s="111">
        <v>0</v>
      </c>
      <c r="Y8" s="111">
        <v>0</v>
      </c>
      <c r="Z8" s="111">
        <v>0</v>
      </c>
      <c r="AA8" s="111">
        <v>0</v>
      </c>
      <c r="AB8" s="111">
        <v>0</v>
      </c>
      <c r="AC8" s="111">
        <v>0</v>
      </c>
      <c r="AD8" s="111">
        <v>0</v>
      </c>
      <c r="AE8" s="111">
        <v>0</v>
      </c>
      <c r="AF8" s="111">
        <v>0</v>
      </c>
      <c r="AG8" s="111">
        <v>0</v>
      </c>
      <c r="AH8" s="111">
        <v>0</v>
      </c>
      <c r="AI8" s="111">
        <v>0</v>
      </c>
      <c r="AJ8" s="111">
        <v>0</v>
      </c>
      <c r="AK8" s="111">
        <v>0</v>
      </c>
      <c r="AL8" s="111">
        <v>0</v>
      </c>
      <c r="AM8" s="111">
        <v>0</v>
      </c>
      <c r="AN8" s="111">
        <v>0</v>
      </c>
      <c r="AO8" s="111">
        <v>0</v>
      </c>
      <c r="AP8" s="111">
        <v>0</v>
      </c>
      <c r="AQ8" s="111">
        <v>0</v>
      </c>
      <c r="AR8" s="111">
        <v>0</v>
      </c>
      <c r="AS8" s="111">
        <v>0</v>
      </c>
      <c r="AT8" s="111">
        <v>0</v>
      </c>
      <c r="AU8" s="111">
        <v>0</v>
      </c>
      <c r="AV8" s="111">
        <v>0</v>
      </c>
    </row>
    <row r="9" spans="1:53" x14ac:dyDescent="0.15">
      <c r="A9" s="44" t="s">
        <v>9</v>
      </c>
      <c r="B9" s="37"/>
      <c r="C9" s="111">
        <f>SUM(F9:BA9)</f>
        <v>15656748.641249999</v>
      </c>
      <c r="D9" s="115"/>
      <c r="E9" s="111"/>
      <c r="F9" s="112">
        <f>SUM(F5:F8)</f>
        <v>0</v>
      </c>
      <c r="G9" s="112">
        <f t="shared" ref="G9:BA9" si="0">SUM(G5:G8)</f>
        <v>0</v>
      </c>
      <c r="H9" s="112">
        <f t="shared" si="0"/>
        <v>0</v>
      </c>
      <c r="I9" s="112">
        <f t="shared" si="0"/>
        <v>0</v>
      </c>
      <c r="J9" s="112">
        <f t="shared" si="0"/>
        <v>250000</v>
      </c>
      <c r="K9" s="112">
        <f t="shared" si="0"/>
        <v>0</v>
      </c>
      <c r="L9" s="112">
        <f t="shared" si="0"/>
        <v>2548028.6412500003</v>
      </c>
      <c r="M9" s="112">
        <f t="shared" si="0"/>
        <v>0</v>
      </c>
      <c r="N9" s="112">
        <f t="shared" si="0"/>
        <v>0</v>
      </c>
      <c r="O9" s="112">
        <f t="shared" si="0"/>
        <v>0</v>
      </c>
      <c r="P9" s="112">
        <f t="shared" si="0"/>
        <v>0</v>
      </c>
      <c r="Q9" s="112">
        <f t="shared" si="0"/>
        <v>0</v>
      </c>
      <c r="R9" s="112">
        <f t="shared" si="0"/>
        <v>0</v>
      </c>
      <c r="S9" s="112">
        <f t="shared" si="0"/>
        <v>0</v>
      </c>
      <c r="T9" s="112">
        <f t="shared" si="0"/>
        <v>774000</v>
      </c>
      <c r="U9" s="112">
        <f t="shared" si="0"/>
        <v>0</v>
      </c>
      <c r="V9" s="112">
        <f t="shared" si="0"/>
        <v>0</v>
      </c>
      <c r="W9" s="112">
        <f t="shared" si="0"/>
        <v>1052640</v>
      </c>
      <c r="X9" s="112">
        <f t="shared" si="0"/>
        <v>0</v>
      </c>
      <c r="Y9" s="112">
        <f t="shared" si="0"/>
        <v>0</v>
      </c>
      <c r="Z9" s="112">
        <f t="shared" si="0"/>
        <v>1073280</v>
      </c>
      <c r="AA9" s="112">
        <f t="shared" si="0"/>
        <v>0</v>
      </c>
      <c r="AB9" s="112">
        <f t="shared" si="0"/>
        <v>0</v>
      </c>
      <c r="AC9" s="112">
        <f t="shared" si="0"/>
        <v>1093920</v>
      </c>
      <c r="AD9" s="112">
        <f t="shared" si="0"/>
        <v>0</v>
      </c>
      <c r="AE9" s="112">
        <f t="shared" si="0"/>
        <v>0</v>
      </c>
      <c r="AF9" s="112">
        <f t="shared" si="0"/>
        <v>1114560</v>
      </c>
      <c r="AG9" s="112">
        <f t="shared" si="0"/>
        <v>0</v>
      </c>
      <c r="AH9" s="112">
        <f t="shared" si="0"/>
        <v>0</v>
      </c>
      <c r="AI9" s="112">
        <f t="shared" si="0"/>
        <v>1135200</v>
      </c>
      <c r="AJ9" s="112">
        <f t="shared" si="0"/>
        <v>0</v>
      </c>
      <c r="AK9" s="112">
        <f t="shared" si="0"/>
        <v>0</v>
      </c>
      <c r="AL9" s="112">
        <f t="shared" si="0"/>
        <v>1155840</v>
      </c>
      <c r="AM9" s="112">
        <f t="shared" si="0"/>
        <v>0</v>
      </c>
      <c r="AN9" s="112">
        <f t="shared" si="0"/>
        <v>0</v>
      </c>
      <c r="AO9" s="112">
        <f t="shared" si="0"/>
        <v>1176480</v>
      </c>
      <c r="AP9" s="112">
        <f t="shared" si="0"/>
        <v>0</v>
      </c>
      <c r="AQ9" s="112">
        <f t="shared" si="0"/>
        <v>0</v>
      </c>
      <c r="AR9" s="112">
        <f t="shared" si="0"/>
        <v>1197120</v>
      </c>
      <c r="AS9" s="112">
        <f t="shared" si="0"/>
        <v>0</v>
      </c>
      <c r="AT9" s="112">
        <f t="shared" si="0"/>
        <v>0</v>
      </c>
      <c r="AU9" s="112">
        <f t="shared" si="0"/>
        <v>1217760</v>
      </c>
      <c r="AV9" s="112">
        <f t="shared" si="0"/>
        <v>0</v>
      </c>
      <c r="AW9" s="112">
        <f t="shared" si="0"/>
        <v>0</v>
      </c>
      <c r="AX9" s="112">
        <f t="shared" si="0"/>
        <v>1238400</v>
      </c>
      <c r="AY9" s="112">
        <f t="shared" si="0"/>
        <v>0</v>
      </c>
      <c r="AZ9" s="112">
        <f t="shared" si="0"/>
        <v>0</v>
      </c>
      <c r="BA9" s="181">
        <f t="shared" si="0"/>
        <v>629520</v>
      </c>
    </row>
    <row r="10" spans="1:53" x14ac:dyDescent="0.15">
      <c r="A10" s="15"/>
      <c r="B10" s="22"/>
      <c r="C10" s="111"/>
      <c r="D10" s="115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</row>
    <row r="11" spans="1:53" x14ac:dyDescent="0.15">
      <c r="A11" s="45" t="s">
        <v>47</v>
      </c>
      <c r="B11" s="7"/>
      <c r="C11" s="111">
        <f>SUM(F11:BA11)</f>
        <v>8062724.036622786</v>
      </c>
      <c r="D11" s="115"/>
      <c r="E11" s="118"/>
      <c r="F11" s="111">
        <f>+'Debt Schedule'!F7+'Debt Schedule'!F8+'Debt Schedule'!F9+'Debt Schedule'!F10</f>
        <v>0</v>
      </c>
      <c r="G11" s="111">
        <f>+'Debt Schedule'!G7+'Debt Schedule'!G8+'Debt Schedule'!G9+'Debt Schedule'!G10</f>
        <v>0</v>
      </c>
      <c r="H11" s="111">
        <f>+'Debt Schedule'!H7+'Debt Schedule'!H8+'Debt Schedule'!H9+'Debt Schedule'!H10</f>
        <v>0</v>
      </c>
      <c r="I11" s="111">
        <f>+'Debt Schedule'!I7+'Debt Schedule'!I8+'Debt Schedule'!I9+'Debt Schedule'!I10</f>
        <v>0</v>
      </c>
      <c r="J11" s="111">
        <f>+'Debt Schedule'!J7+'Debt Schedule'!J8+'Debt Schedule'!J9+'Debt Schedule'!J10</f>
        <v>0</v>
      </c>
      <c r="K11" s="111">
        <f>+'Debt Schedule'!K7+'Debt Schedule'!K8+'Debt Schedule'!K9+'Debt Schedule'!K10</f>
        <v>0</v>
      </c>
      <c r="L11" s="111">
        <f>+'Debt Schedule'!L7+'Debt Schedule'!L8+'Debt Schedule'!L9+'Debt Schedule'!L10</f>
        <v>1149471.3587499997</v>
      </c>
      <c r="M11" s="111">
        <f>+'Debt Schedule'!M7+'Debt Schedule'!M8+'Debt Schedule'!M9+'Debt Schedule'!M10</f>
        <v>953806.82631151041</v>
      </c>
      <c r="N11" s="111">
        <f>+'Debt Schedule'!N7+'Debt Schedule'!N8+'Debt Schedule'!N9+'Debt Schedule'!N10</f>
        <v>960284.76434020943</v>
      </c>
      <c r="O11" s="111">
        <f>+'Debt Schedule'!O7+'Debt Schedule'!O8+'Debt Schedule'!O9+'Debt Schedule'!O10</f>
        <v>966806.69836468669</v>
      </c>
      <c r="P11" s="111">
        <f>+'Debt Schedule'!P7+'Debt Schedule'!P8+'Debt Schedule'!P9+'Debt Schedule'!P10</f>
        <v>973372.92719108018</v>
      </c>
      <c r="Q11" s="111">
        <f>+'Debt Schedule'!Q7+'Debt Schedule'!Q8+'Debt Schedule'!Q9+'Debt Schedule'!Q10</f>
        <v>979983.75165491959</v>
      </c>
      <c r="R11" s="111">
        <f>+'Debt Schedule'!R7+'Debt Schedule'!R8+'Debt Schedule'!R9+'Debt Schedule'!R10</f>
        <v>1091639.4746349093</v>
      </c>
      <c r="S11" s="111">
        <f>+'Debt Schedule'!S7+'Debt Schedule'!S8+'Debt Schedule'!S9+'Debt Schedule'!S10</f>
        <v>49053.526066804683</v>
      </c>
      <c r="T11" s="111">
        <f>+'Debt Schedule'!T7+'Debt Schedule'!T8+'Debt Schedule'!T9+'Debt Schedule'!T10</f>
        <v>53886.681264675055</v>
      </c>
      <c r="U11" s="111">
        <f>+'Debt Schedule'!U7+'Debt Schedule'!U8+'Debt Schedule'!U9+'Debt Schedule'!U10</f>
        <v>44758.749141597647</v>
      </c>
      <c r="V11" s="111">
        <f>+'Debt Schedule'!V7+'Debt Schedule'!V8+'Debt Schedule'!V9+'Debt Schedule'!V10</f>
        <v>45062.73564618433</v>
      </c>
      <c r="W11" s="111">
        <f>+'Debt Schedule'!W7+'Debt Schedule'!W8+'Debt Schedule'!W9+'Debt Schedule'!W10</f>
        <v>51368.786725781327</v>
      </c>
      <c r="X11" s="111">
        <f>+'Debt Schedule'!X7+'Debt Schedule'!X8+'Debt Schedule'!X9+'Debt Schedule'!X10</f>
        <v>38925.945402293924</v>
      </c>
      <c r="Y11" s="111">
        <f>+'Debt Schedule'!Y7+'Debt Schedule'!Y8+'Debt Schedule'!Y9+'Debt Schedule'!Y10</f>
        <v>39190.317448151167</v>
      </c>
      <c r="Z11" s="111">
        <f>+'Debt Schedule'!Z7+'Debt Schedule'!Z8+'Debt Schedule'!Z9+'Debt Schedule'!Z10</f>
        <v>45456.485020819862</v>
      </c>
      <c r="AA11" s="111">
        <f>+'Debt Schedule'!AA7+'Debt Schedule'!AA8+'Debt Schedule'!AA9+'Debt Schedule'!AA10</f>
        <v>32840.318314919597</v>
      </c>
      <c r="AB11" s="111">
        <f>+'Debt Schedule'!AB7+'Debt Schedule'!AB8+'Debt Schedule'!AB9+'Debt Schedule'!AB10</f>
        <v>33063.358810141755</v>
      </c>
      <c r="AC11" s="111">
        <f>+'Debt Schedule'!AC7+'Debt Schedule'!AC8+'Debt Schedule'!AC9+'Debt Schedule'!AC10</f>
        <v>39287.91412206064</v>
      </c>
      <c r="AD11" s="111">
        <f>+'Debt Schedule'!AD7+'Debt Schedule'!AD8+'Debt Schedule'!AD9+'Debt Schedule'!AD10</f>
        <v>288060.89513014408</v>
      </c>
      <c r="AE11" s="111">
        <f>+'Debt Schedule'!AE7+'Debt Schedule'!AE8+'Debt Schedule'!AE9+'Debt Schedule'!AE10</f>
        <v>30137.334082540565</v>
      </c>
      <c r="AF11" s="111">
        <f>+'Debt Schedule'!AF7+'Debt Schedule'!AF8+'Debt Schedule'!AF9+'Debt Schedule'!AF10</f>
        <v>36354.574032385543</v>
      </c>
      <c r="AG11" s="111">
        <f>+'Debt Schedule'!AG7+'Debt Schedule'!AG8+'Debt Schedule'!AG9+'Debt Schedule'!AG10</f>
        <v>22984.215920202321</v>
      </c>
      <c r="AH11" s="111">
        <f>+'Debt Schedule'!AH7+'Debt Schedule'!AH8+'Debt Schedule'!AH9+'Debt Schedule'!AH10</f>
        <v>23149.893809960446</v>
      </c>
      <c r="AI11" s="111">
        <f>+'Debt Schedule'!AI7+'Debt Schedule'!AI8+'Debt Schedule'!AI9+'Debt Schedule'!AI10</f>
        <v>29316.765961173911</v>
      </c>
      <c r="AJ11" s="111">
        <f>+'Debt Schedule'!AJ7+'Debt Schedule'!AJ8+'Debt Schedule'!AJ9+'Debt Schedule'!AJ10</f>
        <v>15754.335982477372</v>
      </c>
      <c r="AK11" s="111">
        <f>+'Debt Schedule'!AK7+'Debt Schedule'!AK8+'Debt Schedule'!AK9+'Debt Schedule'!AK10</f>
        <v>15867.898487684397</v>
      </c>
      <c r="AL11" s="111">
        <f>+'Debt Schedule'!AL7+'Debt Schedule'!AL8+'Debt Schedule'!AL9+'Debt Schedule'!AL10</f>
        <v>21982.27958928312</v>
      </c>
      <c r="AM11" s="111">
        <f>+'Debt Schedule'!AM7+'Debt Schedule'!AM8+'Debt Schedule'!AM9+'Debt Schedule'!AM10</f>
        <v>8225.6391879892035</v>
      </c>
      <c r="AN11" s="111">
        <f>+'Debt Schedule'!AN7+'Debt Schedule'!AN8+'Debt Schedule'!AN9+'Debt Schedule'!AN10</f>
        <v>8284.9323371359606</v>
      </c>
      <c r="AO11" s="111">
        <f>+'Debt Schedule'!AO7+'Debt Schedule'!AO8+'Debt Schedule'!AO9+'Debt Schedule'!AO10</f>
        <v>14344.652891066147</v>
      </c>
      <c r="AP11" s="111">
        <f>+'Debt Schedule'!AP7+'Debt Schedule'!AP8+'Debt Schedule'!AP9+'Debt Schedule'!AP10</f>
        <v>0</v>
      </c>
      <c r="AQ11" s="111">
        <f>+'Debt Schedule'!AQ7+'Debt Schedule'!AQ8+'Debt Schedule'!AQ9+'Debt Schedule'!AQ10</f>
        <v>0</v>
      </c>
      <c r="AR11" s="111">
        <f>+'Debt Schedule'!AR7+'Debt Schedule'!AR8+'Debt Schedule'!AR9+'Debt Schedule'!AR10</f>
        <v>0</v>
      </c>
      <c r="AS11" s="111">
        <f>+'Debt Schedule'!AS7+'Debt Schedule'!AS8+'Debt Schedule'!AS9+'Debt Schedule'!AS10</f>
        <v>0</v>
      </c>
      <c r="AT11" s="111">
        <f>+'Debt Schedule'!AT7+'Debt Schedule'!AT8+'Debt Schedule'!AT9+'Debt Schedule'!AT10</f>
        <v>0</v>
      </c>
      <c r="AU11" s="111">
        <f>+'Debt Schedule'!AU7+'Debt Schedule'!AU8+'Debt Schedule'!AU9+'Debt Schedule'!AU10</f>
        <v>0</v>
      </c>
      <c r="AV11" s="111">
        <f>+'Debt Schedule'!AV7+'Debt Schedule'!AV8+'Debt Schedule'!AV9+'Debt Schedule'!AV10</f>
        <v>0</v>
      </c>
      <c r="AW11" s="111">
        <f>+'Debt Schedule'!AW7+'Debt Schedule'!AW8+'Debt Schedule'!AW9+'Debt Schedule'!AW10</f>
        <v>0</v>
      </c>
      <c r="AX11" s="111">
        <f>+'Debt Schedule'!AX7+'Debt Schedule'!AX8+'Debt Schedule'!AX9+'Debt Schedule'!AX10</f>
        <v>0</v>
      </c>
      <c r="AY11" s="111">
        <f>+'Debt Schedule'!AY7+'Debt Schedule'!AY8+'Debt Schedule'!AY9+'Debt Schedule'!AY10</f>
        <v>0</v>
      </c>
      <c r="AZ11" s="111">
        <f>+'Debt Schedule'!AZ7+'Debt Schedule'!AZ8+'Debt Schedule'!AZ9+'Debt Schedule'!AZ10</f>
        <v>0</v>
      </c>
      <c r="BA11" s="180">
        <f>+'Debt Schedule'!BA7+'Debt Schedule'!BA8+'Debt Schedule'!BA9+'Debt Schedule'!BA10</f>
        <v>0</v>
      </c>
    </row>
    <row r="12" spans="1:53" x14ac:dyDescent="0.15">
      <c r="A12" s="15"/>
      <c r="B12" s="22"/>
      <c r="C12" s="111"/>
      <c r="D12" s="115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</row>
    <row r="13" spans="1:53" x14ac:dyDescent="0.15">
      <c r="A13" s="45" t="s">
        <v>40</v>
      </c>
      <c r="B13" s="22"/>
      <c r="C13" s="111">
        <f>SUM(F13:BA13)</f>
        <v>23719472.677872788</v>
      </c>
      <c r="D13" s="115"/>
      <c r="E13" s="111"/>
      <c r="F13" s="113">
        <f>F9+F11</f>
        <v>0</v>
      </c>
      <c r="G13" s="113">
        <f t="shared" ref="G13:BA13" si="1">G9+G11</f>
        <v>0</v>
      </c>
      <c r="H13" s="113">
        <f t="shared" si="1"/>
        <v>0</v>
      </c>
      <c r="I13" s="113">
        <f t="shared" si="1"/>
        <v>0</v>
      </c>
      <c r="J13" s="113">
        <f t="shared" si="1"/>
        <v>250000</v>
      </c>
      <c r="K13" s="113">
        <f t="shared" si="1"/>
        <v>0</v>
      </c>
      <c r="L13" s="113">
        <f t="shared" si="1"/>
        <v>3697500</v>
      </c>
      <c r="M13" s="113">
        <f t="shared" si="1"/>
        <v>953806.82631151041</v>
      </c>
      <c r="N13" s="113">
        <f t="shared" si="1"/>
        <v>960284.76434020943</v>
      </c>
      <c r="O13" s="113">
        <f t="shared" si="1"/>
        <v>966806.69836468669</v>
      </c>
      <c r="P13" s="113">
        <f t="shared" si="1"/>
        <v>973372.92719108018</v>
      </c>
      <c r="Q13" s="113">
        <f t="shared" si="1"/>
        <v>979983.75165491959</v>
      </c>
      <c r="R13" s="113">
        <f t="shared" si="1"/>
        <v>1091639.4746349093</v>
      </c>
      <c r="S13" s="113">
        <f t="shared" si="1"/>
        <v>49053.526066804683</v>
      </c>
      <c r="T13" s="113">
        <f t="shared" si="1"/>
        <v>827886.68126467511</v>
      </c>
      <c r="U13" s="113">
        <f t="shared" si="1"/>
        <v>44758.749141597647</v>
      </c>
      <c r="V13" s="113">
        <f t="shared" si="1"/>
        <v>45062.73564618433</v>
      </c>
      <c r="W13" s="113">
        <f t="shared" si="1"/>
        <v>1104008.7867257814</v>
      </c>
      <c r="X13" s="113">
        <f t="shared" si="1"/>
        <v>38925.945402293924</v>
      </c>
      <c r="Y13" s="113">
        <f t="shared" si="1"/>
        <v>39190.317448151167</v>
      </c>
      <c r="Z13" s="113">
        <f t="shared" si="1"/>
        <v>1118736.4850208198</v>
      </c>
      <c r="AA13" s="113">
        <f t="shared" si="1"/>
        <v>32840.318314919597</v>
      </c>
      <c r="AB13" s="113">
        <f t="shared" si="1"/>
        <v>33063.358810141755</v>
      </c>
      <c r="AC13" s="113">
        <f t="shared" si="1"/>
        <v>1133207.9141220606</v>
      </c>
      <c r="AD13" s="113">
        <f t="shared" si="1"/>
        <v>288060.89513014408</v>
      </c>
      <c r="AE13" s="113">
        <f t="shared" si="1"/>
        <v>30137.334082540565</v>
      </c>
      <c r="AF13" s="113">
        <f t="shared" si="1"/>
        <v>1150914.5740323856</v>
      </c>
      <c r="AG13" s="113">
        <f t="shared" si="1"/>
        <v>22984.215920202321</v>
      </c>
      <c r="AH13" s="113">
        <f t="shared" si="1"/>
        <v>23149.893809960446</v>
      </c>
      <c r="AI13" s="113">
        <f t="shared" si="1"/>
        <v>1164516.7659611739</v>
      </c>
      <c r="AJ13" s="113">
        <f t="shared" si="1"/>
        <v>15754.335982477372</v>
      </c>
      <c r="AK13" s="113">
        <f t="shared" si="1"/>
        <v>15867.898487684397</v>
      </c>
      <c r="AL13" s="113">
        <f t="shared" si="1"/>
        <v>1177822.279589283</v>
      </c>
      <c r="AM13" s="113">
        <f t="shared" si="1"/>
        <v>8225.6391879892035</v>
      </c>
      <c r="AN13" s="113">
        <f t="shared" si="1"/>
        <v>8284.9323371359606</v>
      </c>
      <c r="AO13" s="113">
        <f t="shared" si="1"/>
        <v>1190824.6528910662</v>
      </c>
      <c r="AP13" s="113">
        <f t="shared" si="1"/>
        <v>0</v>
      </c>
      <c r="AQ13" s="113">
        <f t="shared" si="1"/>
        <v>0</v>
      </c>
      <c r="AR13" s="113">
        <f t="shared" si="1"/>
        <v>1197120</v>
      </c>
      <c r="AS13" s="113">
        <f t="shared" si="1"/>
        <v>0</v>
      </c>
      <c r="AT13" s="113">
        <f t="shared" si="1"/>
        <v>0</v>
      </c>
      <c r="AU13" s="113">
        <f t="shared" si="1"/>
        <v>1217760</v>
      </c>
      <c r="AV13" s="113">
        <f t="shared" si="1"/>
        <v>0</v>
      </c>
      <c r="AW13" s="113">
        <f t="shared" si="1"/>
        <v>0</v>
      </c>
      <c r="AX13" s="113">
        <f t="shared" si="1"/>
        <v>1238400</v>
      </c>
      <c r="AY13" s="113">
        <f t="shared" si="1"/>
        <v>0</v>
      </c>
      <c r="AZ13" s="113">
        <f t="shared" si="1"/>
        <v>0</v>
      </c>
      <c r="BA13" s="182">
        <f t="shared" si="1"/>
        <v>629520</v>
      </c>
    </row>
    <row r="14" spans="1:53" x14ac:dyDescent="0.15">
      <c r="A14" s="15"/>
      <c r="B14" s="22"/>
      <c r="C14" s="111"/>
      <c r="D14" s="115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</row>
    <row r="15" spans="1:53" x14ac:dyDescent="0.15">
      <c r="A15" s="29" t="s">
        <v>36</v>
      </c>
      <c r="B15" s="7"/>
      <c r="C15" s="111"/>
      <c r="D15" s="115"/>
      <c r="E15" s="118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</row>
    <row r="16" spans="1:53" x14ac:dyDescent="0.15">
      <c r="A16" s="45" t="s">
        <v>35</v>
      </c>
      <c r="B16" s="7"/>
      <c r="C16" s="111"/>
      <c r="D16" s="115"/>
      <c r="E16" s="118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</row>
    <row r="17" spans="1:53" x14ac:dyDescent="0.15">
      <c r="A17" s="136" t="s">
        <v>35</v>
      </c>
      <c r="B17" s="7"/>
      <c r="C17" s="111">
        <f>SUM(F17:BA17)</f>
        <v>-3780000</v>
      </c>
      <c r="D17" s="115"/>
      <c r="E17" s="117"/>
      <c r="F17" s="111">
        <v>0</v>
      </c>
      <c r="G17" s="111">
        <v>0</v>
      </c>
      <c r="H17" s="111">
        <v>0</v>
      </c>
      <c r="I17" s="111">
        <v>0</v>
      </c>
      <c r="J17" s="111">
        <f>-Assumptions!C54</f>
        <v>-250000</v>
      </c>
      <c r="K17" s="111">
        <v>0</v>
      </c>
      <c r="L17" s="111">
        <f>-Assumptions!G32+Assumptions!C54</f>
        <v>-3530000</v>
      </c>
      <c r="M17" s="111">
        <v>0</v>
      </c>
      <c r="N17" s="111">
        <v>0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11">
        <v>0</v>
      </c>
      <c r="V17" s="111">
        <v>0</v>
      </c>
      <c r="W17" s="111">
        <v>0</v>
      </c>
      <c r="X17" s="111">
        <v>0</v>
      </c>
      <c r="Y17" s="111">
        <v>0</v>
      </c>
      <c r="Z17" s="111">
        <v>0</v>
      </c>
      <c r="AA17" s="111">
        <v>0</v>
      </c>
      <c r="AB17" s="111">
        <v>0</v>
      </c>
      <c r="AC17" s="111">
        <v>0</v>
      </c>
      <c r="AD17" s="111">
        <v>0</v>
      </c>
      <c r="AE17" s="111">
        <v>0</v>
      </c>
      <c r="AF17" s="111">
        <v>0</v>
      </c>
      <c r="AG17" s="111">
        <v>0</v>
      </c>
      <c r="AH17" s="111">
        <v>0</v>
      </c>
      <c r="AI17" s="111">
        <v>0</v>
      </c>
      <c r="AJ17" s="111">
        <v>0</v>
      </c>
      <c r="AK17" s="111">
        <v>0</v>
      </c>
      <c r="AL17" s="111">
        <v>0</v>
      </c>
      <c r="AM17" s="111">
        <v>0</v>
      </c>
      <c r="AN17" s="111">
        <v>0</v>
      </c>
      <c r="AO17" s="111">
        <v>0</v>
      </c>
      <c r="AP17" s="111">
        <v>0</v>
      </c>
      <c r="AQ17" s="111">
        <v>0</v>
      </c>
      <c r="AR17" s="111">
        <v>0</v>
      </c>
      <c r="AS17" s="111">
        <v>0</v>
      </c>
      <c r="AT17" s="111">
        <v>0</v>
      </c>
      <c r="AU17" s="111">
        <v>0</v>
      </c>
      <c r="AV17" s="111">
        <v>0</v>
      </c>
      <c r="AW17" s="111">
        <v>0</v>
      </c>
      <c r="AX17" s="111">
        <v>0</v>
      </c>
      <c r="AY17" s="111">
        <v>0</v>
      </c>
      <c r="AZ17" s="111">
        <v>0</v>
      </c>
      <c r="BA17" s="180">
        <v>0</v>
      </c>
    </row>
    <row r="18" spans="1:53" x14ac:dyDescent="0.15">
      <c r="A18" s="68" t="s">
        <v>4</v>
      </c>
      <c r="B18" s="7"/>
      <c r="C18" s="111">
        <f>SUM(F18:BA18)</f>
        <v>-3780000</v>
      </c>
      <c r="D18" s="115"/>
      <c r="E18" s="117"/>
      <c r="F18" s="112">
        <f>SUM(F17)</f>
        <v>0</v>
      </c>
      <c r="G18" s="112">
        <f t="shared" ref="G18:AU18" si="2">SUM(G17)</f>
        <v>0</v>
      </c>
      <c r="H18" s="112">
        <f t="shared" si="2"/>
        <v>0</v>
      </c>
      <c r="I18" s="112">
        <f t="shared" si="2"/>
        <v>0</v>
      </c>
      <c r="J18" s="112">
        <f t="shared" si="2"/>
        <v>-250000</v>
      </c>
      <c r="K18" s="112">
        <f t="shared" si="2"/>
        <v>0</v>
      </c>
      <c r="L18" s="112">
        <f t="shared" si="2"/>
        <v>-3530000</v>
      </c>
      <c r="M18" s="112">
        <f t="shared" si="2"/>
        <v>0</v>
      </c>
      <c r="N18" s="112">
        <f t="shared" si="2"/>
        <v>0</v>
      </c>
      <c r="O18" s="112">
        <f t="shared" si="2"/>
        <v>0</v>
      </c>
      <c r="P18" s="112">
        <f t="shared" si="2"/>
        <v>0</v>
      </c>
      <c r="Q18" s="112">
        <f t="shared" si="2"/>
        <v>0</v>
      </c>
      <c r="R18" s="112">
        <f t="shared" si="2"/>
        <v>0</v>
      </c>
      <c r="S18" s="112">
        <f t="shared" si="2"/>
        <v>0</v>
      </c>
      <c r="T18" s="112">
        <f t="shared" si="2"/>
        <v>0</v>
      </c>
      <c r="U18" s="112">
        <f t="shared" si="2"/>
        <v>0</v>
      </c>
      <c r="V18" s="112">
        <f t="shared" si="2"/>
        <v>0</v>
      </c>
      <c r="W18" s="112">
        <f t="shared" si="2"/>
        <v>0</v>
      </c>
      <c r="X18" s="112">
        <f t="shared" si="2"/>
        <v>0</v>
      </c>
      <c r="Y18" s="112">
        <f t="shared" si="2"/>
        <v>0</v>
      </c>
      <c r="Z18" s="112">
        <f t="shared" si="2"/>
        <v>0</v>
      </c>
      <c r="AA18" s="112">
        <f t="shared" si="2"/>
        <v>0</v>
      </c>
      <c r="AB18" s="112">
        <f t="shared" si="2"/>
        <v>0</v>
      </c>
      <c r="AC18" s="112">
        <f t="shared" si="2"/>
        <v>0</v>
      </c>
      <c r="AD18" s="112">
        <f t="shared" si="2"/>
        <v>0</v>
      </c>
      <c r="AE18" s="112">
        <f t="shared" si="2"/>
        <v>0</v>
      </c>
      <c r="AF18" s="112">
        <f t="shared" si="2"/>
        <v>0</v>
      </c>
      <c r="AG18" s="112">
        <f t="shared" si="2"/>
        <v>0</v>
      </c>
      <c r="AH18" s="112">
        <f t="shared" si="2"/>
        <v>0</v>
      </c>
      <c r="AI18" s="112">
        <f t="shared" si="2"/>
        <v>0</v>
      </c>
      <c r="AJ18" s="112">
        <f t="shared" si="2"/>
        <v>0</v>
      </c>
      <c r="AK18" s="112">
        <f t="shared" si="2"/>
        <v>0</v>
      </c>
      <c r="AL18" s="112">
        <f t="shared" si="2"/>
        <v>0</v>
      </c>
      <c r="AM18" s="112">
        <f t="shared" si="2"/>
        <v>0</v>
      </c>
      <c r="AN18" s="112">
        <f t="shared" si="2"/>
        <v>0</v>
      </c>
      <c r="AO18" s="112">
        <f t="shared" si="2"/>
        <v>0</v>
      </c>
      <c r="AP18" s="112">
        <f t="shared" si="2"/>
        <v>0</v>
      </c>
      <c r="AQ18" s="112">
        <f t="shared" si="2"/>
        <v>0</v>
      </c>
      <c r="AR18" s="112">
        <f t="shared" si="2"/>
        <v>0</v>
      </c>
      <c r="AS18" s="112">
        <f t="shared" si="2"/>
        <v>0</v>
      </c>
      <c r="AT18" s="112">
        <f t="shared" si="2"/>
        <v>0</v>
      </c>
      <c r="AU18" s="112">
        <f t="shared" si="2"/>
        <v>0</v>
      </c>
      <c r="AV18" s="112">
        <f t="shared" ref="AV18:BA18" si="3">SUM(AV17)</f>
        <v>0</v>
      </c>
      <c r="AW18" s="112">
        <f t="shared" si="3"/>
        <v>0</v>
      </c>
      <c r="AX18" s="112">
        <f t="shared" si="3"/>
        <v>0</v>
      </c>
      <c r="AY18" s="112">
        <f t="shared" si="3"/>
        <v>0</v>
      </c>
      <c r="AZ18" s="112">
        <f t="shared" si="3"/>
        <v>0</v>
      </c>
      <c r="BA18" s="181">
        <f t="shared" si="3"/>
        <v>0</v>
      </c>
    </row>
    <row r="19" spans="1:53" x14ac:dyDescent="0.15">
      <c r="A19" s="29"/>
      <c r="B19" s="7"/>
      <c r="C19" s="111"/>
      <c r="D19" s="115"/>
      <c r="E19" s="118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</row>
    <row r="20" spans="1:53" x14ac:dyDescent="0.15">
      <c r="A20" s="45" t="s">
        <v>37</v>
      </c>
      <c r="B20" s="7"/>
      <c r="C20" s="111">
        <f>SUM(F20:BA20)</f>
        <v>0</v>
      </c>
      <c r="D20" s="115"/>
      <c r="E20" s="118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</row>
    <row r="21" spans="1:53" x14ac:dyDescent="0.15">
      <c r="A21" s="30" t="s">
        <v>48</v>
      </c>
      <c r="B21" s="7"/>
      <c r="C21" s="111">
        <f>SUM(F21:BA21)</f>
        <v>-4657500</v>
      </c>
      <c r="D21" s="115"/>
      <c r="E21" s="117"/>
      <c r="F21" s="111">
        <v>0</v>
      </c>
      <c r="G21" s="111">
        <v>0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f>-Assumptions!$C34*Assumptions!$C31/6</f>
        <v>-776250</v>
      </c>
      <c r="N21" s="111">
        <f>-Assumptions!$C34*Assumptions!$C31/6</f>
        <v>-776250</v>
      </c>
      <c r="O21" s="111">
        <f>-Assumptions!$C34*Assumptions!$C31/6</f>
        <v>-776250</v>
      </c>
      <c r="P21" s="111">
        <f>-Assumptions!$C34*Assumptions!$C31/6</f>
        <v>-776250</v>
      </c>
      <c r="Q21" s="111">
        <f>-Assumptions!$C34*Assumptions!$C31/6</f>
        <v>-776250</v>
      </c>
      <c r="R21" s="111">
        <f>-Assumptions!$C34*Assumptions!$C31/6</f>
        <v>-776250</v>
      </c>
      <c r="S21" s="111">
        <v>0</v>
      </c>
      <c r="T21" s="111">
        <v>0</v>
      </c>
      <c r="U21" s="111">
        <v>0</v>
      </c>
      <c r="V21" s="111">
        <v>0</v>
      </c>
      <c r="W21" s="111">
        <v>0</v>
      </c>
      <c r="X21" s="111">
        <v>0</v>
      </c>
      <c r="Y21" s="111">
        <v>0</v>
      </c>
      <c r="Z21" s="111">
        <v>0</v>
      </c>
      <c r="AA21" s="111">
        <v>0</v>
      </c>
      <c r="AB21" s="111">
        <v>0</v>
      </c>
      <c r="AC21" s="111">
        <v>0</v>
      </c>
      <c r="AD21" s="111">
        <v>0</v>
      </c>
      <c r="AE21" s="111">
        <v>0</v>
      </c>
      <c r="AF21" s="111">
        <v>0</v>
      </c>
      <c r="AG21" s="111">
        <v>0</v>
      </c>
      <c r="AH21" s="111">
        <v>0</v>
      </c>
      <c r="AI21" s="111">
        <v>0</v>
      </c>
      <c r="AJ21" s="111">
        <v>0</v>
      </c>
      <c r="AK21" s="111">
        <v>0</v>
      </c>
      <c r="AL21" s="111">
        <v>0</v>
      </c>
      <c r="AM21" s="111">
        <v>0</v>
      </c>
      <c r="AN21" s="111">
        <v>0</v>
      </c>
      <c r="AO21" s="111">
        <v>0</v>
      </c>
      <c r="AP21" s="111">
        <v>0</v>
      </c>
      <c r="AQ21" s="111">
        <v>0</v>
      </c>
      <c r="AR21" s="111">
        <v>0</v>
      </c>
      <c r="AS21" s="111">
        <v>0</v>
      </c>
      <c r="AT21" s="111">
        <v>0</v>
      </c>
      <c r="AU21" s="111">
        <v>0</v>
      </c>
      <c r="AV21" s="111">
        <v>0</v>
      </c>
      <c r="AW21" s="111">
        <v>0</v>
      </c>
      <c r="AX21" s="111">
        <v>0</v>
      </c>
      <c r="AY21" s="111">
        <v>0</v>
      </c>
      <c r="AZ21" s="111">
        <v>0</v>
      </c>
      <c r="BA21" s="180">
        <v>0</v>
      </c>
    </row>
    <row r="22" spans="1:53" x14ac:dyDescent="0.15">
      <c r="A22" s="136" t="s">
        <v>171</v>
      </c>
      <c r="B22" s="7"/>
      <c r="C22" s="111">
        <f>SUM(F22:BA22)</f>
        <v>0</v>
      </c>
      <c r="D22" s="115"/>
      <c r="E22" s="117"/>
      <c r="F22" s="111">
        <v>0</v>
      </c>
      <c r="G22" s="111">
        <v>0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111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11">
        <v>0</v>
      </c>
      <c r="V22" s="111">
        <v>0</v>
      </c>
      <c r="W22" s="111">
        <v>0</v>
      </c>
      <c r="X22" s="111">
        <v>0</v>
      </c>
      <c r="Y22" s="111">
        <v>0</v>
      </c>
      <c r="Z22" s="111">
        <v>0</v>
      </c>
      <c r="AA22" s="111">
        <v>0</v>
      </c>
      <c r="AB22" s="111">
        <v>0</v>
      </c>
      <c r="AC22" s="111">
        <v>0</v>
      </c>
      <c r="AD22" s="111">
        <v>0</v>
      </c>
      <c r="AE22" s="111">
        <v>0</v>
      </c>
      <c r="AF22" s="111">
        <v>0</v>
      </c>
      <c r="AG22" s="111">
        <v>0</v>
      </c>
      <c r="AH22" s="111">
        <v>0</v>
      </c>
      <c r="AI22" s="111">
        <v>0</v>
      </c>
      <c r="AJ22" s="111">
        <v>0</v>
      </c>
      <c r="AK22" s="111">
        <v>0</v>
      </c>
      <c r="AL22" s="111">
        <v>0</v>
      </c>
      <c r="AM22" s="111">
        <v>0</v>
      </c>
      <c r="AN22" s="111">
        <v>0</v>
      </c>
      <c r="AO22" s="111">
        <v>0</v>
      </c>
      <c r="AP22" s="111">
        <v>0</v>
      </c>
      <c r="AQ22" s="111">
        <v>0</v>
      </c>
      <c r="AR22" s="111">
        <v>0</v>
      </c>
      <c r="AS22" s="111">
        <v>0</v>
      </c>
      <c r="AT22" s="111">
        <v>0</v>
      </c>
      <c r="AU22" s="111">
        <v>0</v>
      </c>
      <c r="AV22" s="111">
        <v>0</v>
      </c>
      <c r="AW22" s="111">
        <v>0</v>
      </c>
      <c r="AX22" s="111">
        <v>0</v>
      </c>
      <c r="AY22" s="111">
        <v>0</v>
      </c>
      <c r="AZ22" s="111">
        <v>0</v>
      </c>
      <c r="BA22" s="180">
        <v>0</v>
      </c>
    </row>
    <row r="23" spans="1:53" x14ac:dyDescent="0.15">
      <c r="A23" s="45" t="s">
        <v>4</v>
      </c>
      <c r="B23" s="7"/>
      <c r="C23" s="111">
        <f>SUM(F23:BA23)</f>
        <v>-4657500</v>
      </c>
      <c r="D23" s="115"/>
      <c r="E23" s="118"/>
      <c r="F23" s="112">
        <f>SUM(F21:F22)</f>
        <v>0</v>
      </c>
      <c r="G23" s="112">
        <f t="shared" ref="G23:AU23" si="4">SUM(G21:G22)</f>
        <v>0</v>
      </c>
      <c r="H23" s="112">
        <f t="shared" si="4"/>
        <v>0</v>
      </c>
      <c r="I23" s="112">
        <f t="shared" si="4"/>
        <v>0</v>
      </c>
      <c r="J23" s="112">
        <f t="shared" si="4"/>
        <v>0</v>
      </c>
      <c r="K23" s="112">
        <f t="shared" si="4"/>
        <v>0</v>
      </c>
      <c r="L23" s="112">
        <f t="shared" si="4"/>
        <v>0</v>
      </c>
      <c r="M23" s="112">
        <f t="shared" si="4"/>
        <v>-776250</v>
      </c>
      <c r="N23" s="112">
        <f t="shared" si="4"/>
        <v>-776250</v>
      </c>
      <c r="O23" s="112">
        <f t="shared" si="4"/>
        <v>-776250</v>
      </c>
      <c r="P23" s="112">
        <f t="shared" si="4"/>
        <v>-776250</v>
      </c>
      <c r="Q23" s="112">
        <f t="shared" si="4"/>
        <v>-776250</v>
      </c>
      <c r="R23" s="112">
        <f>SUM(R21:R22)</f>
        <v>-776250</v>
      </c>
      <c r="S23" s="112">
        <f t="shared" si="4"/>
        <v>0</v>
      </c>
      <c r="T23" s="112">
        <f t="shared" si="4"/>
        <v>0</v>
      </c>
      <c r="U23" s="112">
        <f t="shared" si="4"/>
        <v>0</v>
      </c>
      <c r="V23" s="112">
        <f t="shared" si="4"/>
        <v>0</v>
      </c>
      <c r="W23" s="112">
        <f t="shared" si="4"/>
        <v>0</v>
      </c>
      <c r="X23" s="112">
        <f t="shared" si="4"/>
        <v>0</v>
      </c>
      <c r="Y23" s="112">
        <f t="shared" si="4"/>
        <v>0</v>
      </c>
      <c r="Z23" s="112">
        <f t="shared" si="4"/>
        <v>0</v>
      </c>
      <c r="AA23" s="112">
        <f t="shared" si="4"/>
        <v>0</v>
      </c>
      <c r="AB23" s="112">
        <f t="shared" si="4"/>
        <v>0</v>
      </c>
      <c r="AC23" s="112">
        <f t="shared" si="4"/>
        <v>0</v>
      </c>
      <c r="AD23" s="112">
        <f t="shared" si="4"/>
        <v>0</v>
      </c>
      <c r="AE23" s="112">
        <f t="shared" si="4"/>
        <v>0</v>
      </c>
      <c r="AF23" s="112">
        <f t="shared" si="4"/>
        <v>0</v>
      </c>
      <c r="AG23" s="112">
        <f t="shared" si="4"/>
        <v>0</v>
      </c>
      <c r="AH23" s="112">
        <f t="shared" si="4"/>
        <v>0</v>
      </c>
      <c r="AI23" s="112">
        <f t="shared" si="4"/>
        <v>0</v>
      </c>
      <c r="AJ23" s="112">
        <f t="shared" si="4"/>
        <v>0</v>
      </c>
      <c r="AK23" s="112">
        <f t="shared" si="4"/>
        <v>0</v>
      </c>
      <c r="AL23" s="112">
        <f t="shared" si="4"/>
        <v>0</v>
      </c>
      <c r="AM23" s="112">
        <f t="shared" si="4"/>
        <v>0</v>
      </c>
      <c r="AN23" s="112">
        <f t="shared" si="4"/>
        <v>0</v>
      </c>
      <c r="AO23" s="112">
        <f t="shared" si="4"/>
        <v>0</v>
      </c>
      <c r="AP23" s="112">
        <f t="shared" si="4"/>
        <v>0</v>
      </c>
      <c r="AQ23" s="112">
        <f t="shared" si="4"/>
        <v>0</v>
      </c>
      <c r="AR23" s="112">
        <f t="shared" si="4"/>
        <v>0</v>
      </c>
      <c r="AS23" s="112">
        <f t="shared" si="4"/>
        <v>0</v>
      </c>
      <c r="AT23" s="112">
        <f t="shared" si="4"/>
        <v>0</v>
      </c>
      <c r="AU23" s="112">
        <f t="shared" si="4"/>
        <v>0</v>
      </c>
      <c r="AV23" s="112">
        <f t="shared" ref="AV23:BA23" si="5">SUM(AV21:AV22)</f>
        <v>0</v>
      </c>
      <c r="AW23" s="112">
        <f t="shared" si="5"/>
        <v>0</v>
      </c>
      <c r="AX23" s="112">
        <f t="shared" si="5"/>
        <v>0</v>
      </c>
      <c r="AY23" s="112">
        <f t="shared" si="5"/>
        <v>0</v>
      </c>
      <c r="AZ23" s="112">
        <f t="shared" si="5"/>
        <v>0</v>
      </c>
      <c r="BA23" s="181">
        <f t="shared" si="5"/>
        <v>0</v>
      </c>
    </row>
    <row r="24" spans="1:53" x14ac:dyDescent="0.15">
      <c r="A24" s="45"/>
      <c r="B24" s="7"/>
      <c r="C24" s="111"/>
      <c r="D24" s="115"/>
      <c r="E24" s="118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</row>
    <row r="25" spans="1:53" x14ac:dyDescent="0.15">
      <c r="A25" s="45" t="s">
        <v>53</v>
      </c>
      <c r="B25" s="7"/>
      <c r="C25" s="111"/>
      <c r="D25" s="115"/>
      <c r="E25" s="118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</row>
    <row r="26" spans="1:53" x14ac:dyDescent="0.15">
      <c r="A26" s="30" t="s">
        <v>43</v>
      </c>
      <c r="B26" s="7"/>
      <c r="C26" s="111">
        <f t="shared" ref="C24:C45" si="6">SUM(F26:BA26)</f>
        <v>-25000</v>
      </c>
      <c r="D26" s="115"/>
      <c r="E26" s="118"/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f>-Assumptions!C36</f>
        <v>-25000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11">
        <v>0</v>
      </c>
      <c r="V26" s="111">
        <v>0</v>
      </c>
      <c r="W26" s="111">
        <v>0</v>
      </c>
      <c r="X26" s="111">
        <v>0</v>
      </c>
      <c r="Y26" s="111">
        <v>0</v>
      </c>
      <c r="Z26" s="111">
        <v>0</v>
      </c>
      <c r="AA26" s="111">
        <v>0</v>
      </c>
      <c r="AB26" s="111">
        <v>0</v>
      </c>
      <c r="AC26" s="111">
        <v>0</v>
      </c>
      <c r="AD26" s="111">
        <v>0</v>
      </c>
      <c r="AE26" s="111">
        <v>0</v>
      </c>
      <c r="AF26" s="111">
        <v>0</v>
      </c>
      <c r="AG26" s="111">
        <v>0</v>
      </c>
      <c r="AH26" s="111">
        <v>0</v>
      </c>
      <c r="AI26" s="111">
        <v>0</v>
      </c>
      <c r="AJ26" s="111">
        <v>0</v>
      </c>
      <c r="AK26" s="111">
        <v>0</v>
      </c>
      <c r="AL26" s="111">
        <v>0</v>
      </c>
      <c r="AM26" s="111">
        <v>0</v>
      </c>
      <c r="AN26" s="111">
        <v>0</v>
      </c>
      <c r="AO26" s="111">
        <v>0</v>
      </c>
      <c r="AP26" s="111">
        <v>0</v>
      </c>
      <c r="AQ26" s="111">
        <v>0</v>
      </c>
      <c r="AR26" s="111">
        <v>0</v>
      </c>
      <c r="AS26" s="111">
        <v>0</v>
      </c>
      <c r="AT26" s="111">
        <v>0</v>
      </c>
      <c r="AU26" s="111">
        <v>0</v>
      </c>
      <c r="AV26" s="111">
        <v>0</v>
      </c>
      <c r="AW26" s="111">
        <v>0</v>
      </c>
      <c r="AX26" s="111">
        <v>0</v>
      </c>
      <c r="AY26" s="111">
        <v>0</v>
      </c>
      <c r="AZ26" s="111">
        <v>0</v>
      </c>
      <c r="BA26" s="180">
        <v>0</v>
      </c>
    </row>
    <row r="27" spans="1:53" x14ac:dyDescent="0.15">
      <c r="A27" s="30" t="s">
        <v>29</v>
      </c>
      <c r="B27" s="7"/>
      <c r="C27" s="111">
        <f t="shared" si="6"/>
        <v>-7500</v>
      </c>
      <c r="D27" s="115"/>
      <c r="E27" s="118"/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f>-Assumptions!C35</f>
        <v>-7500</v>
      </c>
      <c r="M27" s="111">
        <v>0</v>
      </c>
      <c r="N27" s="111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11">
        <v>0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0</v>
      </c>
      <c r="AB27" s="111">
        <v>0</v>
      </c>
      <c r="AC27" s="111">
        <v>0</v>
      </c>
      <c r="AD27" s="111">
        <v>0</v>
      </c>
      <c r="AE27" s="111">
        <v>0</v>
      </c>
      <c r="AF27" s="111">
        <v>0</v>
      </c>
      <c r="AG27" s="111">
        <v>0</v>
      </c>
      <c r="AH27" s="111">
        <v>0</v>
      </c>
      <c r="AI27" s="111">
        <v>0</v>
      </c>
      <c r="AJ27" s="111">
        <v>0</v>
      </c>
      <c r="AK27" s="111">
        <v>0</v>
      </c>
      <c r="AL27" s="111">
        <v>0</v>
      </c>
      <c r="AM27" s="111">
        <v>0</v>
      </c>
      <c r="AN27" s="111">
        <v>0</v>
      </c>
      <c r="AO27" s="111">
        <v>0</v>
      </c>
      <c r="AP27" s="111">
        <v>0</v>
      </c>
      <c r="AQ27" s="111">
        <v>0</v>
      </c>
      <c r="AR27" s="111">
        <v>0</v>
      </c>
      <c r="AS27" s="111">
        <v>0</v>
      </c>
      <c r="AT27" s="111">
        <v>0</v>
      </c>
      <c r="AU27" s="111">
        <v>0</v>
      </c>
      <c r="AV27" s="111">
        <v>0</v>
      </c>
      <c r="AW27" s="111">
        <v>0</v>
      </c>
      <c r="AX27" s="111">
        <v>0</v>
      </c>
      <c r="AY27" s="111">
        <v>0</v>
      </c>
      <c r="AZ27" s="111">
        <v>0</v>
      </c>
      <c r="BA27" s="180">
        <v>0</v>
      </c>
    </row>
    <row r="28" spans="1:53" x14ac:dyDescent="0.15">
      <c r="A28" s="30" t="s">
        <v>52</v>
      </c>
      <c r="B28" s="7"/>
      <c r="C28" s="111">
        <f t="shared" si="6"/>
        <v>-10000</v>
      </c>
      <c r="D28" s="115"/>
      <c r="E28" s="118"/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f>-Assumptions!C37</f>
        <v>-10000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0</v>
      </c>
      <c r="AA28" s="111">
        <v>0</v>
      </c>
      <c r="AB28" s="111">
        <v>0</v>
      </c>
      <c r="AC28" s="111">
        <v>0</v>
      </c>
      <c r="AD28" s="111">
        <v>0</v>
      </c>
      <c r="AE28" s="111">
        <v>0</v>
      </c>
      <c r="AF28" s="111">
        <v>0</v>
      </c>
      <c r="AG28" s="111">
        <v>0</v>
      </c>
      <c r="AH28" s="111">
        <v>0</v>
      </c>
      <c r="AI28" s="111">
        <v>0</v>
      </c>
      <c r="AJ28" s="111">
        <v>0</v>
      </c>
      <c r="AK28" s="111">
        <v>0</v>
      </c>
      <c r="AL28" s="111">
        <v>0</v>
      </c>
      <c r="AM28" s="111">
        <v>0</v>
      </c>
      <c r="AN28" s="111">
        <v>0</v>
      </c>
      <c r="AO28" s="111">
        <v>0</v>
      </c>
      <c r="AP28" s="111">
        <v>0</v>
      </c>
      <c r="AQ28" s="111">
        <v>0</v>
      </c>
      <c r="AR28" s="111">
        <v>0</v>
      </c>
      <c r="AS28" s="111">
        <v>0</v>
      </c>
      <c r="AT28" s="111">
        <v>0</v>
      </c>
      <c r="AU28" s="111">
        <v>0</v>
      </c>
      <c r="AV28" s="111">
        <v>0</v>
      </c>
      <c r="AW28" s="111">
        <v>0</v>
      </c>
      <c r="AX28" s="111">
        <v>0</v>
      </c>
      <c r="AY28" s="111">
        <v>0</v>
      </c>
      <c r="AZ28" s="111">
        <v>0</v>
      </c>
      <c r="BA28" s="180">
        <v>0</v>
      </c>
    </row>
    <row r="29" spans="1:53" x14ac:dyDescent="0.15">
      <c r="A29" s="136" t="s">
        <v>113</v>
      </c>
      <c r="B29" s="7"/>
      <c r="C29" s="111">
        <f t="shared" si="6"/>
        <v>-25000</v>
      </c>
      <c r="D29" s="115"/>
      <c r="E29" s="118"/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f>-Assumptions!C38</f>
        <v>-25000</v>
      </c>
      <c r="M29" s="111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0</v>
      </c>
      <c r="AA29" s="111">
        <v>0</v>
      </c>
      <c r="AB29" s="111">
        <v>0</v>
      </c>
      <c r="AC29" s="111">
        <v>0</v>
      </c>
      <c r="AD29" s="111">
        <v>0</v>
      </c>
      <c r="AE29" s="111">
        <v>0</v>
      </c>
      <c r="AF29" s="111">
        <v>0</v>
      </c>
      <c r="AG29" s="111">
        <v>0</v>
      </c>
      <c r="AH29" s="111">
        <v>0</v>
      </c>
      <c r="AI29" s="111">
        <v>0</v>
      </c>
      <c r="AJ29" s="111">
        <v>0</v>
      </c>
      <c r="AK29" s="111">
        <v>0</v>
      </c>
      <c r="AL29" s="111">
        <v>0</v>
      </c>
      <c r="AM29" s="111">
        <v>0</v>
      </c>
      <c r="AN29" s="111">
        <v>0</v>
      </c>
      <c r="AO29" s="111">
        <v>0</v>
      </c>
      <c r="AP29" s="111">
        <v>0</v>
      </c>
      <c r="AQ29" s="111">
        <v>0</v>
      </c>
      <c r="AR29" s="111">
        <v>0</v>
      </c>
      <c r="AS29" s="111">
        <v>0</v>
      </c>
      <c r="AT29" s="111">
        <v>0</v>
      </c>
      <c r="AU29" s="111">
        <v>0</v>
      </c>
      <c r="AV29" s="111">
        <v>0</v>
      </c>
      <c r="AW29" s="111">
        <v>0</v>
      </c>
      <c r="AX29" s="111">
        <v>0</v>
      </c>
      <c r="AY29" s="111">
        <v>0</v>
      </c>
      <c r="AZ29" s="111">
        <v>0</v>
      </c>
      <c r="BA29" s="180">
        <v>0</v>
      </c>
    </row>
    <row r="30" spans="1:53" x14ac:dyDescent="0.15">
      <c r="A30" s="134" t="s">
        <v>114</v>
      </c>
      <c r="B30" s="7"/>
      <c r="C30" s="111">
        <f t="shared" si="6"/>
        <v>-1012500</v>
      </c>
      <c r="D30" s="115"/>
      <c r="E30" s="118"/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f>-Assumptions!$C39*Assumptions!$C31/6</f>
        <v>-168750</v>
      </c>
      <c r="N30" s="111">
        <f>-Assumptions!$C39*Assumptions!$C31/6</f>
        <v>-168750</v>
      </c>
      <c r="O30" s="111">
        <f>-Assumptions!$C39*Assumptions!$C31/6</f>
        <v>-168750</v>
      </c>
      <c r="P30" s="111">
        <f>-Assumptions!$C39*Assumptions!$C31/6</f>
        <v>-168750</v>
      </c>
      <c r="Q30" s="111">
        <f>-Assumptions!$C39*Assumptions!$C31/6</f>
        <v>-168750</v>
      </c>
      <c r="R30" s="111">
        <f>-Assumptions!$C39*Assumptions!$C31/6</f>
        <v>-168750</v>
      </c>
      <c r="S30" s="111">
        <v>0</v>
      </c>
      <c r="T30" s="111">
        <v>0</v>
      </c>
      <c r="U30" s="111">
        <v>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  <c r="AC30" s="111">
        <v>0</v>
      </c>
      <c r="AD30" s="111">
        <v>0</v>
      </c>
      <c r="AE30" s="111">
        <v>0</v>
      </c>
      <c r="AF30" s="111">
        <v>0</v>
      </c>
      <c r="AG30" s="111">
        <v>0</v>
      </c>
      <c r="AH30" s="111">
        <v>0</v>
      </c>
      <c r="AI30" s="111">
        <v>0</v>
      </c>
      <c r="AJ30" s="111">
        <v>0</v>
      </c>
      <c r="AK30" s="111">
        <v>0</v>
      </c>
      <c r="AL30" s="111">
        <v>0</v>
      </c>
      <c r="AM30" s="111">
        <v>0</v>
      </c>
      <c r="AN30" s="111">
        <v>0</v>
      </c>
      <c r="AO30" s="111">
        <v>0</v>
      </c>
      <c r="AP30" s="111">
        <v>0</v>
      </c>
      <c r="AQ30" s="111">
        <v>0</v>
      </c>
      <c r="AR30" s="111">
        <v>0</v>
      </c>
      <c r="AS30" s="111">
        <v>0</v>
      </c>
      <c r="AT30" s="111">
        <v>0</v>
      </c>
      <c r="AU30" s="111">
        <v>0</v>
      </c>
      <c r="AV30" s="111">
        <v>0</v>
      </c>
      <c r="AW30" s="111">
        <v>0</v>
      </c>
      <c r="AX30" s="111">
        <v>0</v>
      </c>
      <c r="AY30" s="111">
        <v>0</v>
      </c>
      <c r="AZ30" s="111">
        <v>0</v>
      </c>
      <c r="BA30" s="180">
        <v>0</v>
      </c>
    </row>
    <row r="31" spans="1:53" x14ac:dyDescent="0.15">
      <c r="A31" s="30" t="s">
        <v>70</v>
      </c>
      <c r="B31" s="7"/>
      <c r="C31" s="111">
        <f t="shared" si="6"/>
        <v>-67500</v>
      </c>
      <c r="D31" s="115"/>
      <c r="E31" s="118"/>
      <c r="F31" s="111">
        <f>-Assumptions!$C40*'Sales Proceeds'!F6</f>
        <v>0</v>
      </c>
      <c r="G31" s="111">
        <f>-Assumptions!$C40*'Sales Proceeds'!G6</f>
        <v>0</v>
      </c>
      <c r="H31" s="111">
        <f>-Assumptions!$C40*'Sales Proceeds'!H6</f>
        <v>0</v>
      </c>
      <c r="I31" s="111">
        <f>-Assumptions!$C40*'Sales Proceeds'!I6</f>
        <v>0</v>
      </c>
      <c r="J31" s="111">
        <f>-Assumptions!$C40*'Sales Proceeds'!J6</f>
        <v>0</v>
      </c>
      <c r="K31" s="111">
        <f>-Assumptions!$C40*'Sales Proceeds'!K6</f>
        <v>0</v>
      </c>
      <c r="L31" s="111">
        <f>-Assumptions!$C40*'Sales Proceeds'!L6</f>
        <v>0</v>
      </c>
      <c r="M31" s="111">
        <f>-Assumptions!$C40*'Sales Proceeds'!M6</f>
        <v>0</v>
      </c>
      <c r="N31" s="111">
        <f>-Assumptions!$C40*'Sales Proceeds'!N6</f>
        <v>0</v>
      </c>
      <c r="O31" s="111">
        <f>-Assumptions!$C40*'Sales Proceeds'!O6</f>
        <v>0</v>
      </c>
      <c r="P31" s="111">
        <f>-Assumptions!$C40*'Sales Proceeds'!P6</f>
        <v>0</v>
      </c>
      <c r="Q31" s="111">
        <f>-Assumptions!$C40*'Sales Proceeds'!Q6</f>
        <v>0</v>
      </c>
      <c r="R31" s="111">
        <f>-Assumptions!$C40*'Sales Proceeds'!R6</f>
        <v>0</v>
      </c>
      <c r="S31" s="111">
        <f>-Assumptions!$C40*'Sales Proceeds'!S6</f>
        <v>0</v>
      </c>
      <c r="T31" s="111">
        <f>-Assumptions!$C40*'Sales Proceeds'!T6</f>
        <v>-4500</v>
      </c>
      <c r="U31" s="111">
        <f>-Assumptions!$C40*'Sales Proceeds'!U6</f>
        <v>0</v>
      </c>
      <c r="V31" s="111">
        <f>-Assumptions!$C40*'Sales Proceeds'!V6</f>
        <v>0</v>
      </c>
      <c r="W31" s="111">
        <f>-Assumptions!$C40*'Sales Proceeds'!W6</f>
        <v>-6000</v>
      </c>
      <c r="X31" s="111">
        <f>-Assumptions!$C40*'Sales Proceeds'!X6</f>
        <v>0</v>
      </c>
      <c r="Y31" s="111">
        <f>-Assumptions!$C40*'Sales Proceeds'!Y6</f>
        <v>0</v>
      </c>
      <c r="Z31" s="111">
        <f>-Assumptions!$C40*'Sales Proceeds'!Z6</f>
        <v>-6000</v>
      </c>
      <c r="AA31" s="111">
        <f>-Assumptions!$C40*'Sales Proceeds'!AA6</f>
        <v>0</v>
      </c>
      <c r="AB31" s="111">
        <f>-Assumptions!$C40*'Sales Proceeds'!AB6</f>
        <v>0</v>
      </c>
      <c r="AC31" s="111">
        <f>-Assumptions!$C40*'Sales Proceeds'!AC6</f>
        <v>-6000</v>
      </c>
      <c r="AD31" s="111">
        <f>-Assumptions!$C40*'Sales Proceeds'!AD6</f>
        <v>0</v>
      </c>
      <c r="AE31" s="111">
        <f>-Assumptions!$C40*'Sales Proceeds'!AE6</f>
        <v>0</v>
      </c>
      <c r="AF31" s="111">
        <f>-Assumptions!$C40*'Sales Proceeds'!AF6</f>
        <v>-6000</v>
      </c>
      <c r="AG31" s="111">
        <f>-Assumptions!$C40*'Sales Proceeds'!AG6</f>
        <v>0</v>
      </c>
      <c r="AH31" s="111">
        <f>-Assumptions!$C40*'Sales Proceeds'!AH6</f>
        <v>0</v>
      </c>
      <c r="AI31" s="111">
        <f>-Assumptions!$C40*'Sales Proceeds'!AI6</f>
        <v>-6000</v>
      </c>
      <c r="AJ31" s="111">
        <f>-Assumptions!$C40*'Sales Proceeds'!AJ6</f>
        <v>0</v>
      </c>
      <c r="AK31" s="111">
        <f>-Assumptions!$C40*'Sales Proceeds'!AK6</f>
        <v>0</v>
      </c>
      <c r="AL31" s="111">
        <f>-Assumptions!$C40*'Sales Proceeds'!AL6</f>
        <v>-6000</v>
      </c>
      <c r="AM31" s="111">
        <f>-Assumptions!$C40*'Sales Proceeds'!AM6</f>
        <v>0</v>
      </c>
      <c r="AN31" s="111">
        <f>-Assumptions!$C40*'Sales Proceeds'!AN6</f>
        <v>0</v>
      </c>
      <c r="AO31" s="111">
        <f>-Assumptions!$C40*'Sales Proceeds'!AO6</f>
        <v>-6000</v>
      </c>
      <c r="AP31" s="111">
        <f>-Assumptions!$C40*'Sales Proceeds'!AP6</f>
        <v>0</v>
      </c>
      <c r="AQ31" s="111">
        <f>-Assumptions!$C40*'Sales Proceeds'!AQ6</f>
        <v>0</v>
      </c>
      <c r="AR31" s="111">
        <f>-Assumptions!$C40*'Sales Proceeds'!AR6</f>
        <v>-6000</v>
      </c>
      <c r="AS31" s="111">
        <f>-Assumptions!$C40*'Sales Proceeds'!AS6</f>
        <v>0</v>
      </c>
      <c r="AT31" s="111">
        <f>-Assumptions!$C40*'Sales Proceeds'!AT6</f>
        <v>0</v>
      </c>
      <c r="AU31" s="111">
        <f>-Assumptions!$C40*'Sales Proceeds'!AU6</f>
        <v>-6000</v>
      </c>
      <c r="AV31" s="111">
        <f>-Assumptions!$C40*'Sales Proceeds'!AV6</f>
        <v>0</v>
      </c>
      <c r="AW31" s="111">
        <f>-Assumptions!$C40*'Sales Proceeds'!AW6</f>
        <v>0</v>
      </c>
      <c r="AX31" s="111">
        <f>-Assumptions!$C40*'Sales Proceeds'!AX6</f>
        <v>-6000</v>
      </c>
      <c r="AY31" s="111">
        <f>-Assumptions!$C40*'Sales Proceeds'!AY6</f>
        <v>0</v>
      </c>
      <c r="AZ31" s="111">
        <f>-Assumptions!$C40*'Sales Proceeds'!AZ6</f>
        <v>0</v>
      </c>
      <c r="BA31" s="180">
        <f>-Assumptions!$C40*'Sales Proceeds'!BA6</f>
        <v>-3000</v>
      </c>
    </row>
    <row r="32" spans="1:53" x14ac:dyDescent="0.15">
      <c r="A32" s="30" t="s">
        <v>69</v>
      </c>
      <c r="B32" s="7"/>
      <c r="C32" s="111">
        <f t="shared" si="6"/>
        <v>-135000</v>
      </c>
      <c r="D32" s="115"/>
      <c r="E32" s="118"/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11">
        <v>0</v>
      </c>
      <c r="V32" s="111">
        <v>0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  <c r="AC32" s="111">
        <v>0</v>
      </c>
      <c r="AD32" s="111">
        <v>0</v>
      </c>
      <c r="AE32" s="111">
        <v>0</v>
      </c>
      <c r="AF32" s="111">
        <v>0</v>
      </c>
      <c r="AG32" s="111">
        <v>0</v>
      </c>
      <c r="AH32" s="111">
        <v>0</v>
      </c>
      <c r="AI32" s="111">
        <v>0</v>
      </c>
      <c r="AJ32" s="111">
        <v>0</v>
      </c>
      <c r="AK32" s="111">
        <v>0</v>
      </c>
      <c r="AL32" s="111">
        <v>0</v>
      </c>
      <c r="AM32" s="111">
        <v>0</v>
      </c>
      <c r="AN32" s="111">
        <v>0</v>
      </c>
      <c r="AO32" s="111">
        <v>0</v>
      </c>
      <c r="AP32" s="111">
        <v>0</v>
      </c>
      <c r="AQ32" s="111">
        <v>0</v>
      </c>
      <c r="AR32" s="111">
        <v>0</v>
      </c>
      <c r="AS32" s="111">
        <v>0</v>
      </c>
      <c r="AT32" s="111">
        <v>0</v>
      </c>
      <c r="AU32" s="111">
        <v>0</v>
      </c>
      <c r="AV32" s="111">
        <v>0</v>
      </c>
      <c r="AW32" s="111">
        <v>0</v>
      </c>
      <c r="AX32" s="111">
        <v>0</v>
      </c>
      <c r="AY32" s="111">
        <v>0</v>
      </c>
      <c r="AZ32" s="111">
        <v>0</v>
      </c>
      <c r="BA32" s="178">
        <f>-Assumptions!C41*Assumptions!C31</f>
        <v>-135000</v>
      </c>
    </row>
    <row r="33" spans="1:53" x14ac:dyDescent="0.15">
      <c r="A33" s="30" t="s">
        <v>34</v>
      </c>
      <c r="B33" s="7"/>
      <c r="C33" s="111">
        <f t="shared" si="6"/>
        <v>-41000</v>
      </c>
      <c r="D33" s="115"/>
      <c r="E33" s="118"/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f>-Assumptions!$C42</f>
        <v>-1000</v>
      </c>
      <c r="N33" s="111">
        <f>-Assumptions!$C42</f>
        <v>-1000</v>
      </c>
      <c r="O33" s="111">
        <f>-Assumptions!$C42</f>
        <v>-1000</v>
      </c>
      <c r="P33" s="111">
        <f>-Assumptions!$C42</f>
        <v>-1000</v>
      </c>
      <c r="Q33" s="111">
        <f>-Assumptions!$C42</f>
        <v>-1000</v>
      </c>
      <c r="R33" s="111">
        <f>-Assumptions!$C42</f>
        <v>-1000</v>
      </c>
      <c r="S33" s="111">
        <f>-Assumptions!$C42</f>
        <v>-1000</v>
      </c>
      <c r="T33" s="111">
        <f>-Assumptions!$C42</f>
        <v>-1000</v>
      </c>
      <c r="U33" s="111">
        <f>-Assumptions!$C42</f>
        <v>-1000</v>
      </c>
      <c r="V33" s="111">
        <f>-Assumptions!$C42</f>
        <v>-1000</v>
      </c>
      <c r="W33" s="111">
        <f>-Assumptions!$C42</f>
        <v>-1000</v>
      </c>
      <c r="X33" s="111">
        <f>-Assumptions!$C42</f>
        <v>-1000</v>
      </c>
      <c r="Y33" s="111">
        <f>-Assumptions!$C42</f>
        <v>-1000</v>
      </c>
      <c r="Z33" s="111">
        <f>-Assumptions!$C42</f>
        <v>-1000</v>
      </c>
      <c r="AA33" s="111">
        <f>-Assumptions!$C42</f>
        <v>-1000</v>
      </c>
      <c r="AB33" s="111">
        <f>-Assumptions!$C42</f>
        <v>-1000</v>
      </c>
      <c r="AC33" s="111">
        <f>-Assumptions!$C42</f>
        <v>-1000</v>
      </c>
      <c r="AD33" s="111">
        <f>-Assumptions!$C42</f>
        <v>-1000</v>
      </c>
      <c r="AE33" s="111">
        <f>-Assumptions!$C42</f>
        <v>-1000</v>
      </c>
      <c r="AF33" s="111">
        <f>-Assumptions!$C42</f>
        <v>-1000</v>
      </c>
      <c r="AG33" s="111">
        <f>-Assumptions!$C42</f>
        <v>-1000</v>
      </c>
      <c r="AH33" s="111">
        <f>-Assumptions!$C42</f>
        <v>-1000</v>
      </c>
      <c r="AI33" s="111">
        <f>-Assumptions!$C42</f>
        <v>-1000</v>
      </c>
      <c r="AJ33" s="111">
        <f>-Assumptions!$C42</f>
        <v>-1000</v>
      </c>
      <c r="AK33" s="111">
        <f>-Assumptions!$C42</f>
        <v>-1000</v>
      </c>
      <c r="AL33" s="111">
        <f>-Assumptions!$C42</f>
        <v>-1000</v>
      </c>
      <c r="AM33" s="111">
        <f>-Assumptions!$C42</f>
        <v>-1000</v>
      </c>
      <c r="AN33" s="111">
        <f>-Assumptions!$C42</f>
        <v>-1000</v>
      </c>
      <c r="AO33" s="111">
        <f>-Assumptions!$C42</f>
        <v>-1000</v>
      </c>
      <c r="AP33" s="111">
        <f>-Assumptions!$C42</f>
        <v>-1000</v>
      </c>
      <c r="AQ33" s="111">
        <f>-Assumptions!$C42</f>
        <v>-1000</v>
      </c>
      <c r="AR33" s="111">
        <f>-Assumptions!$C42</f>
        <v>-1000</v>
      </c>
      <c r="AS33" s="111">
        <f>-Assumptions!$C42</f>
        <v>-1000</v>
      </c>
      <c r="AT33" s="111">
        <f>-Assumptions!$C42</f>
        <v>-1000</v>
      </c>
      <c r="AU33" s="111">
        <f>-Assumptions!$C42</f>
        <v>-1000</v>
      </c>
      <c r="AV33" s="111">
        <f>-Assumptions!$C42</f>
        <v>-1000</v>
      </c>
      <c r="AW33" s="111">
        <f>-Assumptions!$C42</f>
        <v>-1000</v>
      </c>
      <c r="AX33" s="111">
        <f>-Assumptions!$C42</f>
        <v>-1000</v>
      </c>
      <c r="AY33" s="111">
        <f>-Assumptions!$C42</f>
        <v>-1000</v>
      </c>
      <c r="AZ33" s="111">
        <f>-Assumptions!$C42</f>
        <v>-1000</v>
      </c>
      <c r="BA33" s="180">
        <f>-Assumptions!$C42</f>
        <v>-1000</v>
      </c>
    </row>
    <row r="34" spans="1:53" x14ac:dyDescent="0.15">
      <c r="A34" s="30" t="s">
        <v>44</v>
      </c>
      <c r="B34" s="7"/>
      <c r="C34" s="111">
        <f t="shared" si="6"/>
        <v>-100000</v>
      </c>
      <c r="D34" s="115"/>
      <c r="E34" s="118"/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f>-Assumptions!C43</f>
        <v>-100000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0</v>
      </c>
      <c r="AA34" s="111">
        <v>0</v>
      </c>
      <c r="AB34" s="111">
        <v>0</v>
      </c>
      <c r="AC34" s="111">
        <v>0</v>
      </c>
      <c r="AD34" s="111">
        <v>0</v>
      </c>
      <c r="AE34" s="111">
        <v>0</v>
      </c>
      <c r="AF34" s="111">
        <v>0</v>
      </c>
      <c r="AG34" s="111">
        <v>0</v>
      </c>
      <c r="AH34" s="111">
        <v>0</v>
      </c>
      <c r="AI34" s="111">
        <v>0</v>
      </c>
      <c r="AJ34" s="111">
        <v>0</v>
      </c>
      <c r="AK34" s="111">
        <v>0</v>
      </c>
      <c r="AL34" s="111">
        <v>0</v>
      </c>
      <c r="AM34" s="111">
        <v>0</v>
      </c>
      <c r="AN34" s="111">
        <v>0</v>
      </c>
      <c r="AO34" s="111">
        <v>0</v>
      </c>
      <c r="AP34" s="111">
        <v>0</v>
      </c>
      <c r="AQ34" s="111">
        <v>0</v>
      </c>
      <c r="AR34" s="111">
        <v>0</v>
      </c>
      <c r="AS34" s="111">
        <v>0</v>
      </c>
      <c r="AT34" s="111">
        <v>0</v>
      </c>
      <c r="AU34" s="111">
        <v>0</v>
      </c>
      <c r="AV34" s="111">
        <v>0</v>
      </c>
      <c r="AW34" s="111">
        <v>0</v>
      </c>
      <c r="AX34" s="111">
        <v>0</v>
      </c>
      <c r="AY34" s="111">
        <v>0</v>
      </c>
      <c r="AZ34" s="111">
        <v>0</v>
      </c>
      <c r="BA34" s="183">
        <v>0</v>
      </c>
    </row>
    <row r="35" spans="1:53" x14ac:dyDescent="0.15">
      <c r="A35" s="30" t="s">
        <v>63</v>
      </c>
      <c r="B35" s="7"/>
      <c r="C35" s="111">
        <f t="shared" si="6"/>
        <v>-519800</v>
      </c>
      <c r="D35" s="115"/>
      <c r="E35" s="118"/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f>-Assumptions!$C44*Assumptions!$C32/2</f>
        <v>-105000</v>
      </c>
      <c r="S35" s="111">
        <v>0</v>
      </c>
      <c r="T35" s="111">
        <v>0</v>
      </c>
      <c r="U35" s="111">
        <v>0</v>
      </c>
      <c r="V35" s="111">
        <v>0</v>
      </c>
      <c r="W35" s="111">
        <v>0</v>
      </c>
      <c r="X35" s="111">
        <v>0</v>
      </c>
      <c r="Y35" s="111">
        <v>0</v>
      </c>
      <c r="Z35" s="111">
        <v>0</v>
      </c>
      <c r="AA35" s="111">
        <v>0</v>
      </c>
      <c r="AB35" s="111">
        <v>0</v>
      </c>
      <c r="AC35" s="111">
        <v>0</v>
      </c>
      <c r="AD35" s="111">
        <f>-Assumptions!$C44*Assumptions!$C32-Assumptions!C59</f>
        <v>-260000</v>
      </c>
      <c r="AE35" s="111">
        <v>0</v>
      </c>
      <c r="AF35" s="111">
        <v>0</v>
      </c>
      <c r="AG35" s="111">
        <v>0</v>
      </c>
      <c r="AH35" s="111">
        <v>0</v>
      </c>
      <c r="AI35" s="111">
        <v>0</v>
      </c>
      <c r="AJ35" s="111">
        <v>0</v>
      </c>
      <c r="AK35" s="111">
        <v>0</v>
      </c>
      <c r="AL35" s="111">
        <v>0</v>
      </c>
      <c r="AM35" s="111">
        <v>0</v>
      </c>
      <c r="AN35" s="111">
        <v>0</v>
      </c>
      <c r="AO35" s="111">
        <v>0</v>
      </c>
      <c r="AP35" s="111">
        <f>-(Assumptions!$C31-'Sales Proceeds'!AC7)*Assumptions!C30*Assumptions!C45</f>
        <v>-154800</v>
      </c>
      <c r="AQ35" s="111">
        <v>0</v>
      </c>
      <c r="AR35" s="111">
        <v>0</v>
      </c>
      <c r="AS35" s="111">
        <v>0</v>
      </c>
      <c r="AT35" s="111">
        <v>0</v>
      </c>
      <c r="AU35" s="111">
        <v>0</v>
      </c>
      <c r="AV35" s="111">
        <v>0</v>
      </c>
      <c r="AW35" s="111">
        <v>0</v>
      </c>
      <c r="AX35" s="111">
        <v>0</v>
      </c>
      <c r="AY35" s="111">
        <v>0</v>
      </c>
      <c r="AZ35" s="111">
        <v>0</v>
      </c>
      <c r="BA35" s="183">
        <v>0</v>
      </c>
    </row>
    <row r="36" spans="1:53" x14ac:dyDescent="0.15">
      <c r="A36" s="45" t="s">
        <v>4</v>
      </c>
      <c r="B36" s="7"/>
      <c r="C36" s="110">
        <f t="shared" si="6"/>
        <v>-1943300</v>
      </c>
      <c r="D36" s="115"/>
      <c r="E36" s="118"/>
      <c r="F36" s="112">
        <f>SUM(F26:F35)</f>
        <v>0</v>
      </c>
      <c r="G36" s="112">
        <f t="shared" ref="G36:AU36" si="7">SUM(G26:G35)</f>
        <v>0</v>
      </c>
      <c r="H36" s="112">
        <f t="shared" si="7"/>
        <v>0</v>
      </c>
      <c r="I36" s="112">
        <f t="shared" si="7"/>
        <v>0</v>
      </c>
      <c r="J36" s="112">
        <f t="shared" si="7"/>
        <v>0</v>
      </c>
      <c r="K36" s="112">
        <f t="shared" si="7"/>
        <v>0</v>
      </c>
      <c r="L36" s="112">
        <f t="shared" si="7"/>
        <v>-167500</v>
      </c>
      <c r="M36" s="112">
        <f t="shared" si="7"/>
        <v>-169750</v>
      </c>
      <c r="N36" s="112">
        <f t="shared" si="7"/>
        <v>-169750</v>
      </c>
      <c r="O36" s="112">
        <f t="shared" si="7"/>
        <v>-169750</v>
      </c>
      <c r="P36" s="112">
        <f t="shared" si="7"/>
        <v>-169750</v>
      </c>
      <c r="Q36" s="112">
        <f t="shared" si="7"/>
        <v>-169750</v>
      </c>
      <c r="R36" s="112">
        <f t="shared" si="7"/>
        <v>-274750</v>
      </c>
      <c r="S36" s="112">
        <f t="shared" si="7"/>
        <v>-1000</v>
      </c>
      <c r="T36" s="112">
        <f t="shared" si="7"/>
        <v>-5500</v>
      </c>
      <c r="U36" s="112">
        <f t="shared" si="7"/>
        <v>-1000</v>
      </c>
      <c r="V36" s="112">
        <f t="shared" si="7"/>
        <v>-1000</v>
      </c>
      <c r="W36" s="112">
        <f t="shared" si="7"/>
        <v>-7000</v>
      </c>
      <c r="X36" s="112">
        <f t="shared" si="7"/>
        <v>-1000</v>
      </c>
      <c r="Y36" s="112">
        <f t="shared" si="7"/>
        <v>-1000</v>
      </c>
      <c r="Z36" s="112">
        <f t="shared" si="7"/>
        <v>-7000</v>
      </c>
      <c r="AA36" s="112">
        <f t="shared" si="7"/>
        <v>-1000</v>
      </c>
      <c r="AB36" s="112">
        <f t="shared" si="7"/>
        <v>-1000</v>
      </c>
      <c r="AC36" s="112">
        <f t="shared" si="7"/>
        <v>-7000</v>
      </c>
      <c r="AD36" s="112">
        <f t="shared" si="7"/>
        <v>-261000</v>
      </c>
      <c r="AE36" s="112">
        <f t="shared" si="7"/>
        <v>-1000</v>
      </c>
      <c r="AF36" s="112">
        <f t="shared" si="7"/>
        <v>-7000</v>
      </c>
      <c r="AG36" s="112">
        <f t="shared" si="7"/>
        <v>-1000</v>
      </c>
      <c r="AH36" s="112">
        <f t="shared" si="7"/>
        <v>-1000</v>
      </c>
      <c r="AI36" s="112">
        <f t="shared" si="7"/>
        <v>-7000</v>
      </c>
      <c r="AJ36" s="112">
        <f t="shared" si="7"/>
        <v>-1000</v>
      </c>
      <c r="AK36" s="112">
        <f t="shared" si="7"/>
        <v>-1000</v>
      </c>
      <c r="AL36" s="112">
        <f t="shared" si="7"/>
        <v>-7000</v>
      </c>
      <c r="AM36" s="112">
        <f t="shared" si="7"/>
        <v>-1000</v>
      </c>
      <c r="AN36" s="112">
        <f t="shared" si="7"/>
        <v>-1000</v>
      </c>
      <c r="AO36" s="112">
        <f t="shared" si="7"/>
        <v>-7000</v>
      </c>
      <c r="AP36" s="112">
        <f t="shared" si="7"/>
        <v>-155800</v>
      </c>
      <c r="AQ36" s="112">
        <f t="shared" si="7"/>
        <v>-1000</v>
      </c>
      <c r="AR36" s="112">
        <f t="shared" si="7"/>
        <v>-7000</v>
      </c>
      <c r="AS36" s="112">
        <f t="shared" si="7"/>
        <v>-1000</v>
      </c>
      <c r="AT36" s="112">
        <f t="shared" si="7"/>
        <v>-1000</v>
      </c>
      <c r="AU36" s="112">
        <f t="shared" si="7"/>
        <v>-7000</v>
      </c>
      <c r="AV36" s="112">
        <f t="shared" ref="AV36:BA36" si="8">SUM(AV26:AV35)</f>
        <v>-1000</v>
      </c>
      <c r="AW36" s="112">
        <f t="shared" si="8"/>
        <v>-1000</v>
      </c>
      <c r="AX36" s="112">
        <f t="shared" si="8"/>
        <v>-7000</v>
      </c>
      <c r="AY36" s="112">
        <f t="shared" si="8"/>
        <v>-1000</v>
      </c>
      <c r="AZ36" s="112">
        <f t="shared" si="8"/>
        <v>-1000</v>
      </c>
      <c r="BA36" s="181">
        <f t="shared" si="8"/>
        <v>-139000</v>
      </c>
    </row>
    <row r="37" spans="1:53" x14ac:dyDescent="0.15">
      <c r="A37" s="29"/>
      <c r="B37" s="46"/>
      <c r="C37" s="111"/>
      <c r="D37" s="115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</row>
    <row r="38" spans="1:53" x14ac:dyDescent="0.15">
      <c r="A38" s="68" t="s">
        <v>170</v>
      </c>
      <c r="B38" s="46"/>
      <c r="C38" s="111">
        <f>SUM(F38:BA38)</f>
        <v>-2798028.6412500003</v>
      </c>
      <c r="D38" s="115"/>
      <c r="E38" s="111"/>
      <c r="F38" s="111">
        <v>0</v>
      </c>
      <c r="G38" s="111">
        <v>0</v>
      </c>
      <c r="H38" s="111">
        <v>0</v>
      </c>
      <c r="I38" s="111">
        <v>0</v>
      </c>
      <c r="J38" s="111">
        <v>0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11">
        <v>0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0</v>
      </c>
      <c r="AD38" s="111">
        <v>0</v>
      </c>
      <c r="AE38" s="111">
        <v>0</v>
      </c>
      <c r="AF38" s="111">
        <v>0</v>
      </c>
      <c r="AG38" s="111">
        <v>0</v>
      </c>
      <c r="AH38" s="111">
        <v>0</v>
      </c>
      <c r="AI38" s="111">
        <v>0</v>
      </c>
      <c r="AJ38" s="111">
        <v>0</v>
      </c>
      <c r="AK38" s="111">
        <v>0</v>
      </c>
      <c r="AL38" s="111">
        <v>0</v>
      </c>
      <c r="AM38" s="111">
        <v>0</v>
      </c>
      <c r="AN38" s="111">
        <v>0</v>
      </c>
      <c r="AO38" s="111">
        <v>0</v>
      </c>
      <c r="AP38" s="111">
        <v>0</v>
      </c>
      <c r="AQ38" s="111">
        <v>0</v>
      </c>
      <c r="AR38" s="111">
        <v>0</v>
      </c>
      <c r="AS38" s="111">
        <v>0</v>
      </c>
      <c r="AT38" s="111">
        <v>0</v>
      </c>
      <c r="AU38" s="111">
        <v>0</v>
      </c>
      <c r="AV38" s="111">
        <v>0</v>
      </c>
      <c r="AW38" s="111">
        <v>0</v>
      </c>
      <c r="AX38" s="111">
        <v>0</v>
      </c>
      <c r="AY38" s="111">
        <v>0</v>
      </c>
      <c r="AZ38" s="111">
        <v>0</v>
      </c>
      <c r="BA38" s="180">
        <f>-Assumptions!K13</f>
        <v>-2798028.6412500003</v>
      </c>
    </row>
    <row r="39" spans="1:53" x14ac:dyDescent="0.15">
      <c r="A39" s="68" t="s">
        <v>26</v>
      </c>
      <c r="B39" s="46"/>
      <c r="C39" s="111">
        <f>SUM(F39:BA39)</f>
        <v>-1675167</v>
      </c>
      <c r="D39" s="115"/>
      <c r="E39" s="111"/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11">
        <v>0</v>
      </c>
      <c r="V39" s="111">
        <v>0</v>
      </c>
      <c r="W39" s="111">
        <v>0</v>
      </c>
      <c r="X39" s="111">
        <v>0</v>
      </c>
      <c r="Y39" s="111">
        <v>0</v>
      </c>
      <c r="Z39" s="111">
        <v>0</v>
      </c>
      <c r="AA39" s="111">
        <v>0</v>
      </c>
      <c r="AB39" s="111">
        <v>0</v>
      </c>
      <c r="AC39" s="111">
        <v>0</v>
      </c>
      <c r="AD39" s="111">
        <v>0</v>
      </c>
      <c r="AE39" s="111">
        <v>0</v>
      </c>
      <c r="AF39" s="111">
        <v>0</v>
      </c>
      <c r="AG39" s="111">
        <v>0</v>
      </c>
      <c r="AH39" s="111">
        <v>0</v>
      </c>
      <c r="AI39" s="111">
        <v>0</v>
      </c>
      <c r="AJ39" s="111">
        <v>0</v>
      </c>
      <c r="AK39" s="111">
        <v>0</v>
      </c>
      <c r="AL39" s="111">
        <v>0</v>
      </c>
      <c r="AM39" s="111">
        <v>0</v>
      </c>
      <c r="AN39" s="111">
        <v>0</v>
      </c>
      <c r="AO39" s="111">
        <v>0</v>
      </c>
      <c r="AP39" s="111">
        <v>0</v>
      </c>
      <c r="AQ39" s="111">
        <v>0</v>
      </c>
      <c r="AR39" s="111">
        <v>0</v>
      </c>
      <c r="AS39" s="111">
        <v>0</v>
      </c>
      <c r="AT39" s="111">
        <v>0</v>
      </c>
      <c r="AU39" s="111">
        <v>0</v>
      </c>
      <c r="AV39" s="111">
        <v>0</v>
      </c>
      <c r="AW39" s="111">
        <v>0</v>
      </c>
      <c r="AX39" s="111">
        <v>0</v>
      </c>
      <c r="AY39" s="111">
        <v>0</v>
      </c>
      <c r="AZ39" s="111">
        <v>0</v>
      </c>
      <c r="BA39" s="180">
        <f>-1391262-755792-139576+279152-46481+15479-5155+1717-572+190-63+21-7+1+367181</f>
        <v>-1675167</v>
      </c>
    </row>
    <row r="40" spans="1:53" x14ac:dyDescent="0.15">
      <c r="A40" s="29"/>
      <c r="B40" s="46"/>
      <c r="C40" s="111"/>
      <c r="D40" s="115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</row>
    <row r="41" spans="1:53" x14ac:dyDescent="0.15">
      <c r="A41" s="45" t="s">
        <v>10</v>
      </c>
      <c r="B41" s="7"/>
      <c r="C41" s="110"/>
      <c r="D41" s="115"/>
      <c r="E41" s="118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</row>
    <row r="42" spans="1:53" x14ac:dyDescent="0.15">
      <c r="A42" s="30" t="s">
        <v>49</v>
      </c>
      <c r="B42" s="7"/>
      <c r="C42" s="111">
        <f>SUM(F42:BA42)</f>
        <v>-8147124</v>
      </c>
      <c r="D42" s="115"/>
      <c r="E42" s="118"/>
      <c r="F42" s="111">
        <f>+'Debt Schedule'!F11</f>
        <v>0</v>
      </c>
      <c r="G42" s="111">
        <f>+'Debt Schedule'!G11</f>
        <v>0</v>
      </c>
      <c r="H42" s="111">
        <f>+'Debt Schedule'!H11</f>
        <v>0</v>
      </c>
      <c r="I42" s="111">
        <f>+'Debt Schedule'!I11</f>
        <v>0</v>
      </c>
      <c r="J42" s="111">
        <f>+'Debt Schedule'!J11</f>
        <v>0</v>
      </c>
      <c r="K42" s="111">
        <f>+'Debt Schedule'!K11</f>
        <v>0</v>
      </c>
      <c r="L42" s="111">
        <f>+'Debt Schedule'!L11</f>
        <v>0</v>
      </c>
      <c r="M42" s="111">
        <f>+'Debt Schedule'!M11</f>
        <v>0</v>
      </c>
      <c r="N42" s="111">
        <f>+'Debt Schedule'!N11</f>
        <v>0</v>
      </c>
      <c r="O42" s="111">
        <f>+'Debt Schedule'!O11</f>
        <v>0</v>
      </c>
      <c r="P42" s="111">
        <f>+'Debt Schedule'!P11</f>
        <v>0</v>
      </c>
      <c r="Q42" s="111">
        <f>+'Debt Schedule'!Q11</f>
        <v>0</v>
      </c>
      <c r="R42" s="111">
        <f>+'Debt Schedule'!R11</f>
        <v>0</v>
      </c>
      <c r="S42" s="111">
        <f>+'Debt Schedule'!S11</f>
        <v>0</v>
      </c>
      <c r="T42" s="111">
        <f>+'Debt Schedule'!T11</f>
        <v>-735300</v>
      </c>
      <c r="U42" s="111">
        <f>+'Debt Schedule'!U11</f>
        <v>0</v>
      </c>
      <c r="V42" s="111">
        <f>+'Debt Schedule'!V11</f>
        <v>0</v>
      </c>
      <c r="W42" s="111">
        <f>+'Debt Schedule'!W11</f>
        <v>-1000008</v>
      </c>
      <c r="X42" s="111">
        <f>+'Debt Schedule'!X11</f>
        <v>0</v>
      </c>
      <c r="Y42" s="111">
        <f>+'Debt Schedule'!Y11</f>
        <v>0</v>
      </c>
      <c r="Z42" s="111">
        <f>+'Debt Schedule'!Z11</f>
        <v>-1019616</v>
      </c>
      <c r="AA42" s="111">
        <f>+'Debt Schedule'!AA11</f>
        <v>0</v>
      </c>
      <c r="AB42" s="111">
        <f>+'Debt Schedule'!AB11</f>
        <v>0</v>
      </c>
      <c r="AC42" s="111">
        <f>+'Debt Schedule'!AC11</f>
        <v>-1039224</v>
      </c>
      <c r="AD42" s="111">
        <f>+'Debt Schedule'!AD11</f>
        <v>0</v>
      </c>
      <c r="AE42" s="111">
        <f>+'Debt Schedule'!AE11</f>
        <v>0</v>
      </c>
      <c r="AF42" s="111">
        <f>+'Debt Schedule'!AF11</f>
        <v>-1058832</v>
      </c>
      <c r="AG42" s="111">
        <f>+'Debt Schedule'!AG11</f>
        <v>0</v>
      </c>
      <c r="AH42" s="111">
        <f>+'Debt Schedule'!AH11</f>
        <v>0</v>
      </c>
      <c r="AI42" s="111">
        <f>+'Debt Schedule'!AI11</f>
        <v>-1078440</v>
      </c>
      <c r="AJ42" s="111">
        <f>+'Debt Schedule'!AJ11</f>
        <v>0</v>
      </c>
      <c r="AK42" s="111">
        <f>+'Debt Schedule'!AK11</f>
        <v>0</v>
      </c>
      <c r="AL42" s="111">
        <f>+'Debt Schedule'!AL11</f>
        <v>-1098048</v>
      </c>
      <c r="AM42" s="111">
        <f>+'Debt Schedule'!AM11</f>
        <v>0</v>
      </c>
      <c r="AN42" s="111">
        <f>+'Debt Schedule'!AN11</f>
        <v>0</v>
      </c>
      <c r="AO42" s="111">
        <f>+'Debt Schedule'!AO11</f>
        <v>-1117656</v>
      </c>
      <c r="AP42" s="111">
        <f>+'Debt Schedule'!AP11</f>
        <v>0</v>
      </c>
      <c r="AQ42" s="111">
        <f>+'Debt Schedule'!AQ11</f>
        <v>0</v>
      </c>
      <c r="AR42" s="111">
        <f>+'Debt Schedule'!AR11</f>
        <v>0</v>
      </c>
      <c r="AS42" s="111">
        <f>+'Debt Schedule'!AS11</f>
        <v>0</v>
      </c>
      <c r="AT42" s="111">
        <f>+'Debt Schedule'!AT11</f>
        <v>0</v>
      </c>
      <c r="AU42" s="111">
        <f>+'Debt Schedule'!AU11</f>
        <v>0</v>
      </c>
      <c r="AV42" s="111">
        <f>+'Debt Schedule'!AV11</f>
        <v>0</v>
      </c>
      <c r="AW42" s="111">
        <f>+'Debt Schedule'!AW11</f>
        <v>0</v>
      </c>
      <c r="AX42" s="111">
        <f>+'Debt Schedule'!AX11</f>
        <v>0</v>
      </c>
      <c r="AY42" s="111">
        <f>+'Debt Schedule'!AY11</f>
        <v>0</v>
      </c>
      <c r="AZ42" s="111">
        <f>+'Debt Schedule'!AZ11</f>
        <v>0</v>
      </c>
      <c r="BA42" s="180">
        <f>+'Debt Schedule'!BA11</f>
        <v>0</v>
      </c>
    </row>
    <row r="43" spans="1:53" x14ac:dyDescent="0.15">
      <c r="A43" s="30" t="s">
        <v>50</v>
      </c>
      <c r="B43" s="22"/>
      <c r="C43" s="111">
        <f>SUM(F43:BA43)</f>
        <v>84400</v>
      </c>
      <c r="D43" s="115"/>
      <c r="E43" s="111"/>
      <c r="F43" s="111">
        <f>+'Debt Schedule'!F12</f>
        <v>0</v>
      </c>
      <c r="G43" s="111">
        <f>+'Debt Schedule'!G12</f>
        <v>0</v>
      </c>
      <c r="H43" s="111">
        <f>+'Debt Schedule'!H12</f>
        <v>0</v>
      </c>
      <c r="I43" s="111">
        <f>+'Debt Schedule'!I12</f>
        <v>0</v>
      </c>
      <c r="J43" s="111">
        <f>+'Debt Schedule'!J12</f>
        <v>0</v>
      </c>
      <c r="K43" s="111">
        <f>+'Debt Schedule'!K12</f>
        <v>0</v>
      </c>
      <c r="L43" s="111">
        <f>+'Debt Schedule'!L12</f>
        <v>0</v>
      </c>
      <c r="M43" s="111">
        <f>+'Debt Schedule'!M12</f>
        <v>0</v>
      </c>
      <c r="N43" s="111">
        <f>+'Debt Schedule'!N12</f>
        <v>0</v>
      </c>
      <c r="O43" s="111">
        <f>+'Debt Schedule'!O12</f>
        <v>0</v>
      </c>
      <c r="P43" s="111">
        <f>+'Debt Schedule'!P12</f>
        <v>0</v>
      </c>
      <c r="Q43" s="111">
        <f>+'Debt Schedule'!Q12</f>
        <v>0</v>
      </c>
      <c r="R43" s="111">
        <f>+'Debt Schedule'!R12</f>
        <v>0</v>
      </c>
      <c r="S43" s="111">
        <f>+'Debt Schedule'!S12</f>
        <v>0</v>
      </c>
      <c r="T43" s="111">
        <f>+'Debt Schedule'!T12</f>
        <v>0</v>
      </c>
      <c r="U43" s="111">
        <f>+'Debt Schedule'!U12</f>
        <v>0</v>
      </c>
      <c r="V43" s="111">
        <f>+'Debt Schedule'!V12</f>
        <v>0</v>
      </c>
      <c r="W43" s="111">
        <f>+'Debt Schedule'!W12</f>
        <v>0</v>
      </c>
      <c r="X43" s="111">
        <f>+'Debt Schedule'!X12</f>
        <v>0</v>
      </c>
      <c r="Y43" s="111">
        <f>+'Debt Schedule'!Y12</f>
        <v>0</v>
      </c>
      <c r="Z43" s="111">
        <f>+'Debt Schedule'!Z12</f>
        <v>0</v>
      </c>
      <c r="AA43" s="111">
        <f>+'Debt Schedule'!AA12</f>
        <v>0</v>
      </c>
      <c r="AB43" s="111">
        <f>+'Debt Schedule'!AB12</f>
        <v>0</v>
      </c>
      <c r="AC43" s="111">
        <f>+'Debt Schedule'!AC12</f>
        <v>0</v>
      </c>
      <c r="AD43" s="111">
        <f>+'Debt Schedule'!AD12</f>
        <v>0</v>
      </c>
      <c r="AE43" s="111">
        <f>+'Debt Schedule'!AE12</f>
        <v>0</v>
      </c>
      <c r="AF43" s="111">
        <f>+'Debt Schedule'!AF12</f>
        <v>0</v>
      </c>
      <c r="AG43" s="111">
        <f>+'Debt Schedule'!AG12</f>
        <v>0</v>
      </c>
      <c r="AH43" s="111">
        <f>+'Debt Schedule'!AH12</f>
        <v>0</v>
      </c>
      <c r="AI43" s="111">
        <f>+'Debt Schedule'!AI12</f>
        <v>0</v>
      </c>
      <c r="AJ43" s="111">
        <f>+'Debt Schedule'!AJ12</f>
        <v>0</v>
      </c>
      <c r="AK43" s="111">
        <f>+'Debt Schedule'!AK12</f>
        <v>0</v>
      </c>
      <c r="AL43" s="111">
        <f>+'Debt Schedule'!AL12</f>
        <v>0</v>
      </c>
      <c r="AM43" s="111">
        <f>+'Debt Schedule'!AM12</f>
        <v>0</v>
      </c>
      <c r="AN43" s="111">
        <f>+'Debt Schedule'!AN12</f>
        <v>0</v>
      </c>
      <c r="AO43" s="111">
        <f>+'Debt Schedule'!AO12</f>
        <v>84400</v>
      </c>
      <c r="AP43" s="111">
        <f>+'Debt Schedule'!AP12</f>
        <v>0</v>
      </c>
      <c r="AQ43" s="111">
        <f>+'Debt Schedule'!AQ12</f>
        <v>0</v>
      </c>
      <c r="AR43" s="111">
        <f>+'Debt Schedule'!AR12</f>
        <v>0</v>
      </c>
      <c r="AS43" s="111">
        <f>+'Debt Schedule'!AS12</f>
        <v>0</v>
      </c>
      <c r="AT43" s="111">
        <f>+'Debt Schedule'!AT12</f>
        <v>0</v>
      </c>
      <c r="AU43" s="111">
        <f>+'Debt Schedule'!AU12</f>
        <v>0</v>
      </c>
      <c r="AV43" s="111">
        <f>+'Debt Schedule'!AV12</f>
        <v>0</v>
      </c>
      <c r="AW43" s="111">
        <f>+'Debt Schedule'!AW12</f>
        <v>0</v>
      </c>
      <c r="AX43" s="111">
        <f>+'Debt Schedule'!AX12</f>
        <v>0</v>
      </c>
      <c r="AY43" s="111">
        <f>+'Debt Schedule'!AY12</f>
        <v>0</v>
      </c>
      <c r="AZ43" s="111">
        <f>+'Debt Schedule'!AZ12</f>
        <v>0</v>
      </c>
      <c r="BA43" s="180">
        <f>+'Debt Schedule'!BA12</f>
        <v>0</v>
      </c>
    </row>
    <row r="44" spans="1:53" x14ac:dyDescent="0.15">
      <c r="A44" s="30" t="s">
        <v>51</v>
      </c>
      <c r="B44" s="7"/>
      <c r="C44" s="111">
        <f>SUM(F44:BA44)</f>
        <v>-802752.67813677806</v>
      </c>
      <c r="D44" s="115"/>
      <c r="E44" s="118"/>
      <c r="F44" s="111">
        <f>-'Debt Schedule'!F16</f>
        <v>0</v>
      </c>
      <c r="G44" s="111">
        <f>-'Debt Schedule'!G16</f>
        <v>0</v>
      </c>
      <c r="H44" s="111">
        <f>-'Debt Schedule'!H16</f>
        <v>0</v>
      </c>
      <c r="I44" s="111">
        <f>-'Debt Schedule'!I16</f>
        <v>0</v>
      </c>
      <c r="J44" s="111">
        <f>-'Debt Schedule'!J16</f>
        <v>0</v>
      </c>
      <c r="K44" s="111">
        <f>-'Debt Schedule'!K16</f>
        <v>0</v>
      </c>
      <c r="L44" s="111">
        <f>-'Debt Schedule'!L16</f>
        <v>0</v>
      </c>
      <c r="M44" s="111">
        <f>-'Debt Schedule'!M16</f>
        <v>-7806.8263115104155</v>
      </c>
      <c r="N44" s="111">
        <f>-'Debt Schedule'!N16</f>
        <v>-14284.764340209424</v>
      </c>
      <c r="O44" s="111">
        <f>-'Debt Schedule'!O16</f>
        <v>-20806.698364686679</v>
      </c>
      <c r="P44" s="111">
        <f>-'Debt Schedule'!P16</f>
        <v>-27372.927191080176</v>
      </c>
      <c r="Q44" s="111">
        <f>-'Debt Schedule'!Q16</f>
        <v>-33983.751654919593</v>
      </c>
      <c r="R44" s="111">
        <f>-'Debt Schedule'!R16</f>
        <v>-40639.474634909253</v>
      </c>
      <c r="S44" s="111">
        <f>-'Debt Schedule'!S16</f>
        <v>-48053.526066804683</v>
      </c>
      <c r="T44" s="111">
        <f>-'Debt Schedule'!T16</f>
        <v>-48386.681264675055</v>
      </c>
      <c r="U44" s="111">
        <f>-'Debt Schedule'!U16</f>
        <v>-43758.749141597647</v>
      </c>
      <c r="V44" s="111">
        <f>-'Debt Schedule'!V16</f>
        <v>-44062.73564618433</v>
      </c>
      <c r="W44" s="111">
        <f>-'Debt Schedule'!W16</f>
        <v>-44368.786725781327</v>
      </c>
      <c r="X44" s="111">
        <f>-'Debt Schedule'!X16</f>
        <v>-37925.945402293924</v>
      </c>
      <c r="Y44" s="111">
        <f>-'Debt Schedule'!Y16</f>
        <v>-38190.317448151167</v>
      </c>
      <c r="Z44" s="111">
        <f>-'Debt Schedule'!Z16</f>
        <v>-38456.485020819862</v>
      </c>
      <c r="AA44" s="111">
        <f>-'Debt Schedule'!AA16</f>
        <v>-31840.318314919597</v>
      </c>
      <c r="AB44" s="111">
        <f>-'Debt Schedule'!AB16</f>
        <v>-32063.358810141755</v>
      </c>
      <c r="AC44" s="111">
        <f>-'Debt Schedule'!AC16</f>
        <v>-32287.914122060636</v>
      </c>
      <c r="AD44" s="111">
        <f>-'Debt Schedule'!AD16</f>
        <v>-27060.895130144112</v>
      </c>
      <c r="AE44" s="111">
        <f>-'Debt Schedule'!AE16</f>
        <v>-29137.334082540565</v>
      </c>
      <c r="AF44" s="111">
        <f>-'Debt Schedule'!AF16</f>
        <v>-29354.574032385546</v>
      </c>
      <c r="AG44" s="111">
        <f>-'Debt Schedule'!AG16</f>
        <v>-21984.215920202321</v>
      </c>
      <c r="AH44" s="111">
        <f>-'Debt Schedule'!AH16</f>
        <v>-22149.893809960446</v>
      </c>
      <c r="AI44" s="111">
        <f>-'Debt Schedule'!AI16</f>
        <v>-22316.765961173911</v>
      </c>
      <c r="AJ44" s="111">
        <f>-'Debt Schedule'!AJ16</f>
        <v>-14754.335982477372</v>
      </c>
      <c r="AK44" s="111">
        <f>-'Debt Schedule'!AK16</f>
        <v>-14867.898487684397</v>
      </c>
      <c r="AL44" s="111">
        <f>-'Debt Schedule'!AL16</f>
        <v>-14982.279589283122</v>
      </c>
      <c r="AM44" s="111">
        <f>-'Debt Schedule'!AM16</f>
        <v>-7225.6391879892044</v>
      </c>
      <c r="AN44" s="111">
        <f>-'Debt Schedule'!AN16</f>
        <v>-7284.9323371359596</v>
      </c>
      <c r="AO44" s="111">
        <f>-'Debt Schedule'!AO16</f>
        <v>-7344.6528910661482</v>
      </c>
      <c r="AP44" s="111">
        <f>-'Debt Schedule'!AP16</f>
        <v>-2.6398924965663663E-4</v>
      </c>
      <c r="AQ44" s="111">
        <f>-'Debt Schedule'!AQ16</f>
        <v>0</v>
      </c>
      <c r="AR44" s="111">
        <f>-'Debt Schedule'!AR16</f>
        <v>0</v>
      </c>
      <c r="AS44" s="111">
        <f>-'Debt Schedule'!AS16</f>
        <v>0</v>
      </c>
      <c r="AT44" s="111">
        <f>-'Debt Schedule'!AT16</f>
        <v>0</v>
      </c>
      <c r="AU44" s="111">
        <f>-'Debt Schedule'!AU16</f>
        <v>0</v>
      </c>
      <c r="AV44" s="111">
        <f>-'Debt Schedule'!AV16</f>
        <v>0</v>
      </c>
      <c r="AW44" s="111">
        <f>-'Debt Schedule'!AW16</f>
        <v>0</v>
      </c>
      <c r="AX44" s="111">
        <f>-'Debt Schedule'!AX16</f>
        <v>0</v>
      </c>
      <c r="AY44" s="111">
        <f>-'Debt Schedule'!AY16</f>
        <v>0</v>
      </c>
      <c r="AZ44" s="111">
        <f>-'Debt Schedule'!AZ16</f>
        <v>0</v>
      </c>
      <c r="BA44" s="180">
        <f>-'Debt Schedule'!BA16</f>
        <v>0</v>
      </c>
    </row>
    <row r="45" spans="1:53" x14ac:dyDescent="0.15">
      <c r="A45" s="45" t="s">
        <v>4</v>
      </c>
      <c r="B45" s="7"/>
      <c r="C45" s="111">
        <f>SUM(F45:BA45)</f>
        <v>-8865476.6781367771</v>
      </c>
      <c r="D45" s="115"/>
      <c r="E45" s="118"/>
      <c r="F45" s="112">
        <f>SUM(F42:F44)</f>
        <v>0</v>
      </c>
      <c r="G45" s="112">
        <f t="shared" ref="G45:AU45" si="9">SUM(G42:G44)</f>
        <v>0</v>
      </c>
      <c r="H45" s="112">
        <f t="shared" si="9"/>
        <v>0</v>
      </c>
      <c r="I45" s="112">
        <f t="shared" si="9"/>
        <v>0</v>
      </c>
      <c r="J45" s="112">
        <f t="shared" si="9"/>
        <v>0</v>
      </c>
      <c r="K45" s="112">
        <f t="shared" si="9"/>
        <v>0</v>
      </c>
      <c r="L45" s="112">
        <f t="shared" si="9"/>
        <v>0</v>
      </c>
      <c r="M45" s="112">
        <f t="shared" si="9"/>
        <v>-7806.8263115104155</v>
      </c>
      <c r="N45" s="112">
        <f t="shared" si="9"/>
        <v>-14284.764340209424</v>
      </c>
      <c r="O45" s="112">
        <f t="shared" si="9"/>
        <v>-20806.698364686679</v>
      </c>
      <c r="P45" s="112">
        <f t="shared" si="9"/>
        <v>-27372.927191080176</v>
      </c>
      <c r="Q45" s="112">
        <f t="shared" si="9"/>
        <v>-33983.751654919593</v>
      </c>
      <c r="R45" s="112">
        <f t="shared" si="9"/>
        <v>-40639.474634909253</v>
      </c>
      <c r="S45" s="112">
        <f t="shared" si="9"/>
        <v>-48053.526066804683</v>
      </c>
      <c r="T45" s="112">
        <f t="shared" si="9"/>
        <v>-783686.68126467511</v>
      </c>
      <c r="U45" s="112">
        <f t="shared" si="9"/>
        <v>-43758.749141597647</v>
      </c>
      <c r="V45" s="112">
        <f t="shared" si="9"/>
        <v>-44062.73564618433</v>
      </c>
      <c r="W45" s="112">
        <f t="shared" si="9"/>
        <v>-1044376.7867257813</v>
      </c>
      <c r="X45" s="112">
        <f t="shared" si="9"/>
        <v>-37925.945402293924</v>
      </c>
      <c r="Y45" s="112">
        <f t="shared" si="9"/>
        <v>-38190.317448151167</v>
      </c>
      <c r="Z45" s="112">
        <f t="shared" si="9"/>
        <v>-1058072.4850208198</v>
      </c>
      <c r="AA45" s="112">
        <f t="shared" si="9"/>
        <v>-31840.318314919597</v>
      </c>
      <c r="AB45" s="112">
        <f t="shared" si="9"/>
        <v>-32063.358810141755</v>
      </c>
      <c r="AC45" s="112">
        <f t="shared" si="9"/>
        <v>-1071511.9141220606</v>
      </c>
      <c r="AD45" s="112">
        <f t="shared" si="9"/>
        <v>-27060.895130144112</v>
      </c>
      <c r="AE45" s="112">
        <f t="shared" si="9"/>
        <v>-29137.334082540565</v>
      </c>
      <c r="AF45" s="112">
        <f t="shared" si="9"/>
        <v>-1088186.5740323856</v>
      </c>
      <c r="AG45" s="112">
        <f t="shared" si="9"/>
        <v>-21984.215920202321</v>
      </c>
      <c r="AH45" s="112">
        <f t="shared" si="9"/>
        <v>-22149.893809960446</v>
      </c>
      <c r="AI45" s="112">
        <f t="shared" si="9"/>
        <v>-1100756.7659611739</v>
      </c>
      <c r="AJ45" s="112">
        <f t="shared" si="9"/>
        <v>-14754.335982477372</v>
      </c>
      <c r="AK45" s="112">
        <f t="shared" si="9"/>
        <v>-14867.898487684397</v>
      </c>
      <c r="AL45" s="112">
        <f t="shared" si="9"/>
        <v>-1113030.279589283</v>
      </c>
      <c r="AM45" s="112">
        <f t="shared" si="9"/>
        <v>-7225.6391879892044</v>
      </c>
      <c r="AN45" s="112">
        <f t="shared" si="9"/>
        <v>-7284.9323371359596</v>
      </c>
      <c r="AO45" s="112">
        <f t="shared" si="9"/>
        <v>-1040600.6528910662</v>
      </c>
      <c r="AP45" s="112">
        <f t="shared" si="9"/>
        <v>-2.6398924965663663E-4</v>
      </c>
      <c r="AQ45" s="112">
        <f t="shared" si="9"/>
        <v>0</v>
      </c>
      <c r="AR45" s="112">
        <f t="shared" si="9"/>
        <v>0</v>
      </c>
      <c r="AS45" s="112">
        <f t="shared" si="9"/>
        <v>0</v>
      </c>
      <c r="AT45" s="112">
        <f t="shared" si="9"/>
        <v>0</v>
      </c>
      <c r="AU45" s="112">
        <f t="shared" si="9"/>
        <v>0</v>
      </c>
      <c r="AV45" s="112">
        <f t="shared" ref="AV45:BA45" si="10">SUM(AV42:AV44)</f>
        <v>0</v>
      </c>
      <c r="AW45" s="112">
        <f t="shared" si="10"/>
        <v>0</v>
      </c>
      <c r="AX45" s="112">
        <f t="shared" si="10"/>
        <v>0</v>
      </c>
      <c r="AY45" s="112">
        <f t="shared" si="10"/>
        <v>0</v>
      </c>
      <c r="AZ45" s="112">
        <f t="shared" si="10"/>
        <v>0</v>
      </c>
      <c r="BA45" s="112">
        <f t="shared" si="10"/>
        <v>0</v>
      </c>
    </row>
    <row r="46" spans="1:53" x14ac:dyDescent="0.15">
      <c r="A46" s="15"/>
      <c r="B46" s="22"/>
      <c r="C46" s="111"/>
      <c r="D46" s="115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</row>
    <row r="47" spans="1:53" x14ac:dyDescent="0.15">
      <c r="A47" s="45" t="s">
        <v>12</v>
      </c>
      <c r="B47" s="22"/>
      <c r="C47" s="111">
        <f>SUM(F47:BA47)</f>
        <v>-23719472.319386777</v>
      </c>
      <c r="D47" s="115"/>
      <c r="E47" s="111"/>
      <c r="F47" s="113">
        <f>F18+F23+F36+F38+F39+F45</f>
        <v>0</v>
      </c>
      <c r="G47" s="113">
        <f t="shared" ref="G47:BA47" si="11">G18+G23+G36+G38+G39+G45</f>
        <v>0</v>
      </c>
      <c r="H47" s="113">
        <f t="shared" si="11"/>
        <v>0</v>
      </c>
      <c r="I47" s="113">
        <f t="shared" si="11"/>
        <v>0</v>
      </c>
      <c r="J47" s="113">
        <f t="shared" si="11"/>
        <v>-250000</v>
      </c>
      <c r="K47" s="113">
        <f t="shared" si="11"/>
        <v>0</v>
      </c>
      <c r="L47" s="113">
        <f t="shared" si="11"/>
        <v>-3697500</v>
      </c>
      <c r="M47" s="113">
        <f t="shared" si="11"/>
        <v>-953806.82631151041</v>
      </c>
      <c r="N47" s="113">
        <f t="shared" si="11"/>
        <v>-960284.76434020943</v>
      </c>
      <c r="O47" s="113">
        <f t="shared" si="11"/>
        <v>-966806.69836468669</v>
      </c>
      <c r="P47" s="113">
        <f t="shared" si="11"/>
        <v>-973372.92719108018</v>
      </c>
      <c r="Q47" s="113">
        <f t="shared" si="11"/>
        <v>-979983.75165491959</v>
      </c>
      <c r="R47" s="113">
        <f t="shared" si="11"/>
        <v>-1091639.4746349093</v>
      </c>
      <c r="S47" s="113">
        <f t="shared" si="11"/>
        <v>-49053.526066804683</v>
      </c>
      <c r="T47" s="113">
        <f t="shared" si="11"/>
        <v>-789186.68126467511</v>
      </c>
      <c r="U47" s="113">
        <f t="shared" si="11"/>
        <v>-44758.749141597647</v>
      </c>
      <c r="V47" s="113">
        <f t="shared" si="11"/>
        <v>-45062.73564618433</v>
      </c>
      <c r="W47" s="113">
        <f t="shared" si="11"/>
        <v>-1051376.7867257814</v>
      </c>
      <c r="X47" s="113">
        <f t="shared" si="11"/>
        <v>-38925.945402293924</v>
      </c>
      <c r="Y47" s="113">
        <f t="shared" si="11"/>
        <v>-39190.317448151167</v>
      </c>
      <c r="Z47" s="113">
        <f t="shared" si="11"/>
        <v>-1065072.4850208198</v>
      </c>
      <c r="AA47" s="113">
        <f t="shared" si="11"/>
        <v>-32840.318314919597</v>
      </c>
      <c r="AB47" s="113">
        <f t="shared" si="11"/>
        <v>-33063.358810141755</v>
      </c>
      <c r="AC47" s="113">
        <f t="shared" si="11"/>
        <v>-1078511.9141220606</v>
      </c>
      <c r="AD47" s="113">
        <f t="shared" si="11"/>
        <v>-288060.89513014408</v>
      </c>
      <c r="AE47" s="113">
        <f t="shared" si="11"/>
        <v>-30137.334082540565</v>
      </c>
      <c r="AF47" s="113">
        <f t="shared" si="11"/>
        <v>-1095186.5740323856</v>
      </c>
      <c r="AG47" s="113">
        <f t="shared" si="11"/>
        <v>-22984.215920202321</v>
      </c>
      <c r="AH47" s="113">
        <f t="shared" si="11"/>
        <v>-23149.893809960446</v>
      </c>
      <c r="AI47" s="113">
        <f t="shared" si="11"/>
        <v>-1107756.7659611739</v>
      </c>
      <c r="AJ47" s="113">
        <f>AJ18+AJ23+AJ36+AJ38+AJ39+AJ45</f>
        <v>-15754.335982477372</v>
      </c>
      <c r="AK47" s="113">
        <f t="shared" si="11"/>
        <v>-15867.898487684397</v>
      </c>
      <c r="AL47" s="113">
        <f t="shared" si="11"/>
        <v>-1120030.279589283</v>
      </c>
      <c r="AM47" s="113">
        <f t="shared" si="11"/>
        <v>-8225.6391879892035</v>
      </c>
      <c r="AN47" s="113">
        <f t="shared" si="11"/>
        <v>-8284.9323371359606</v>
      </c>
      <c r="AO47" s="113">
        <f t="shared" si="11"/>
        <v>-1047600.6528910662</v>
      </c>
      <c r="AP47" s="113">
        <f t="shared" si="11"/>
        <v>-155800.00026398926</v>
      </c>
      <c r="AQ47" s="113">
        <f t="shared" si="11"/>
        <v>-1000</v>
      </c>
      <c r="AR47" s="113">
        <f t="shared" si="11"/>
        <v>-7000</v>
      </c>
      <c r="AS47" s="113">
        <f t="shared" si="11"/>
        <v>-1000</v>
      </c>
      <c r="AT47" s="113">
        <f t="shared" si="11"/>
        <v>-1000</v>
      </c>
      <c r="AU47" s="113">
        <f t="shared" si="11"/>
        <v>-7000</v>
      </c>
      <c r="AV47" s="113">
        <f t="shared" si="11"/>
        <v>-1000</v>
      </c>
      <c r="AW47" s="113">
        <f t="shared" si="11"/>
        <v>-1000</v>
      </c>
      <c r="AX47" s="113">
        <f t="shared" si="11"/>
        <v>-7000</v>
      </c>
      <c r="AY47" s="113">
        <f t="shared" si="11"/>
        <v>-1000</v>
      </c>
      <c r="AZ47" s="113">
        <f t="shared" si="11"/>
        <v>-1000</v>
      </c>
      <c r="BA47" s="182">
        <f t="shared" si="11"/>
        <v>-4612195.6412500003</v>
      </c>
    </row>
    <row r="48" spans="1:53" x14ac:dyDescent="0.15">
      <c r="A48" s="15"/>
      <c r="B48" s="22"/>
      <c r="C48" s="111"/>
      <c r="D48" s="119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</row>
    <row r="49" spans="1:53" x14ac:dyDescent="0.15">
      <c r="A49" s="47" t="s">
        <v>13</v>
      </c>
      <c r="B49" s="48"/>
      <c r="C49" s="184">
        <f>SUM(F49:BA49)</f>
        <v>0.35848601069301367</v>
      </c>
      <c r="D49" s="121"/>
      <c r="E49" s="120"/>
      <c r="F49" s="112">
        <f>F13+F47</f>
        <v>0</v>
      </c>
      <c r="G49" s="112">
        <f t="shared" ref="G49:AU49" si="12">G13+G47</f>
        <v>0</v>
      </c>
      <c r="H49" s="112">
        <f t="shared" si="12"/>
        <v>0</v>
      </c>
      <c r="I49" s="112">
        <f t="shared" si="12"/>
        <v>0</v>
      </c>
      <c r="J49" s="112">
        <f t="shared" si="12"/>
        <v>0</v>
      </c>
      <c r="K49" s="112">
        <f t="shared" si="12"/>
        <v>0</v>
      </c>
      <c r="L49" s="112">
        <f t="shared" si="12"/>
        <v>0</v>
      </c>
      <c r="M49" s="112">
        <f t="shared" si="12"/>
        <v>0</v>
      </c>
      <c r="N49" s="112">
        <f t="shared" si="12"/>
        <v>0</v>
      </c>
      <c r="O49" s="112">
        <f t="shared" si="12"/>
        <v>0</v>
      </c>
      <c r="P49" s="112">
        <f t="shared" si="12"/>
        <v>0</v>
      </c>
      <c r="Q49" s="112">
        <f t="shared" si="12"/>
        <v>0</v>
      </c>
      <c r="R49" s="112">
        <f t="shared" si="12"/>
        <v>0</v>
      </c>
      <c r="S49" s="112">
        <f t="shared" si="12"/>
        <v>0</v>
      </c>
      <c r="T49" s="112">
        <f t="shared" si="12"/>
        <v>38700</v>
      </c>
      <c r="U49" s="112">
        <f t="shared" si="12"/>
        <v>0</v>
      </c>
      <c r="V49" s="112">
        <f t="shared" si="12"/>
        <v>0</v>
      </c>
      <c r="W49" s="112">
        <f t="shared" si="12"/>
        <v>52632</v>
      </c>
      <c r="X49" s="112">
        <f t="shared" si="12"/>
        <v>0</v>
      </c>
      <c r="Y49" s="112">
        <f t="shared" si="12"/>
        <v>0</v>
      </c>
      <c r="Z49" s="112">
        <f t="shared" si="12"/>
        <v>53664</v>
      </c>
      <c r="AA49" s="112">
        <f t="shared" si="12"/>
        <v>0</v>
      </c>
      <c r="AB49" s="112">
        <f t="shared" si="12"/>
        <v>0</v>
      </c>
      <c r="AC49" s="112">
        <f t="shared" si="12"/>
        <v>54696</v>
      </c>
      <c r="AD49" s="112">
        <f t="shared" si="12"/>
        <v>0</v>
      </c>
      <c r="AE49" s="112">
        <f t="shared" si="12"/>
        <v>0</v>
      </c>
      <c r="AF49" s="112">
        <f t="shared" si="12"/>
        <v>55728</v>
      </c>
      <c r="AG49" s="112">
        <f t="shared" si="12"/>
        <v>0</v>
      </c>
      <c r="AH49" s="112">
        <f t="shared" si="12"/>
        <v>0</v>
      </c>
      <c r="AI49" s="112">
        <f t="shared" si="12"/>
        <v>56760</v>
      </c>
      <c r="AJ49" s="112">
        <f>AJ13+AJ47</f>
        <v>0</v>
      </c>
      <c r="AK49" s="112">
        <f t="shared" si="12"/>
        <v>0</v>
      </c>
      <c r="AL49" s="112">
        <f t="shared" si="12"/>
        <v>57792</v>
      </c>
      <c r="AM49" s="112">
        <f t="shared" si="12"/>
        <v>0</v>
      </c>
      <c r="AN49" s="112">
        <f t="shared" si="12"/>
        <v>0</v>
      </c>
      <c r="AO49" s="112">
        <f t="shared" si="12"/>
        <v>143224</v>
      </c>
      <c r="AP49" s="112">
        <f t="shared" si="12"/>
        <v>-155800.00026398926</v>
      </c>
      <c r="AQ49" s="112">
        <f t="shared" si="12"/>
        <v>-1000</v>
      </c>
      <c r="AR49" s="112">
        <f t="shared" si="12"/>
        <v>1190120</v>
      </c>
      <c r="AS49" s="112">
        <f t="shared" si="12"/>
        <v>-1000</v>
      </c>
      <c r="AT49" s="112">
        <f t="shared" si="12"/>
        <v>-1000</v>
      </c>
      <c r="AU49" s="112">
        <f t="shared" si="12"/>
        <v>1210760</v>
      </c>
      <c r="AV49" s="112">
        <f t="shared" ref="AV49:BA49" si="13">AV13+AV47</f>
        <v>-1000</v>
      </c>
      <c r="AW49" s="112">
        <f t="shared" si="13"/>
        <v>-1000</v>
      </c>
      <c r="AX49" s="112">
        <f t="shared" si="13"/>
        <v>1231400</v>
      </c>
      <c r="AY49" s="112">
        <f t="shared" si="13"/>
        <v>-1000</v>
      </c>
      <c r="AZ49" s="112">
        <f t="shared" si="13"/>
        <v>-1000</v>
      </c>
      <c r="BA49" s="181">
        <f t="shared" si="13"/>
        <v>-3982675.6412500003</v>
      </c>
    </row>
    <row r="50" spans="1:53" x14ac:dyDescent="0.15">
      <c r="A50" s="49"/>
      <c r="B50" s="50"/>
      <c r="C50" s="122"/>
      <c r="D50" s="115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</row>
    <row r="51" spans="1:53" x14ac:dyDescent="0.15">
      <c r="A51" s="51" t="s">
        <v>14</v>
      </c>
      <c r="B51" s="52"/>
      <c r="C51" s="123"/>
      <c r="D51" s="119"/>
      <c r="E51" s="123"/>
      <c r="F51" s="124">
        <v>0</v>
      </c>
      <c r="G51" s="124">
        <v>0</v>
      </c>
      <c r="H51" s="124">
        <f>G51+H49</f>
        <v>0</v>
      </c>
      <c r="I51" s="124">
        <f t="shared" ref="I51:AV51" si="14">H51+I49</f>
        <v>0</v>
      </c>
      <c r="J51" s="124">
        <f t="shared" si="14"/>
        <v>0</v>
      </c>
      <c r="K51" s="124">
        <f t="shared" si="14"/>
        <v>0</v>
      </c>
      <c r="L51" s="124">
        <f t="shared" si="14"/>
        <v>0</v>
      </c>
      <c r="M51" s="124">
        <f t="shared" si="14"/>
        <v>0</v>
      </c>
      <c r="N51" s="124">
        <f t="shared" si="14"/>
        <v>0</v>
      </c>
      <c r="O51" s="124">
        <f t="shared" si="14"/>
        <v>0</v>
      </c>
      <c r="P51" s="124">
        <f t="shared" si="14"/>
        <v>0</v>
      </c>
      <c r="Q51" s="124">
        <f t="shared" si="14"/>
        <v>0</v>
      </c>
      <c r="R51" s="124">
        <f t="shared" si="14"/>
        <v>0</v>
      </c>
      <c r="S51" s="124">
        <f t="shared" si="14"/>
        <v>0</v>
      </c>
      <c r="T51" s="124">
        <f t="shared" si="14"/>
        <v>38700</v>
      </c>
      <c r="U51" s="124">
        <f t="shared" si="14"/>
        <v>38700</v>
      </c>
      <c r="V51" s="124">
        <f t="shared" si="14"/>
        <v>38700</v>
      </c>
      <c r="W51" s="124">
        <f t="shared" si="14"/>
        <v>91332</v>
      </c>
      <c r="X51" s="124">
        <f t="shared" si="14"/>
        <v>91332</v>
      </c>
      <c r="Y51" s="124">
        <f t="shared" si="14"/>
        <v>91332</v>
      </c>
      <c r="Z51" s="124">
        <f t="shared" si="14"/>
        <v>144996</v>
      </c>
      <c r="AA51" s="124">
        <f t="shared" si="14"/>
        <v>144996</v>
      </c>
      <c r="AB51" s="124">
        <f t="shared" si="14"/>
        <v>144996</v>
      </c>
      <c r="AC51" s="124">
        <f t="shared" si="14"/>
        <v>199692</v>
      </c>
      <c r="AD51" s="124">
        <f t="shared" si="14"/>
        <v>199692</v>
      </c>
      <c r="AE51" s="124">
        <f t="shared" si="14"/>
        <v>199692</v>
      </c>
      <c r="AF51" s="124">
        <f t="shared" si="14"/>
        <v>255420</v>
      </c>
      <c r="AG51" s="124">
        <f t="shared" si="14"/>
        <v>255420</v>
      </c>
      <c r="AH51" s="124">
        <f t="shared" si="14"/>
        <v>255420</v>
      </c>
      <c r="AI51" s="124">
        <f t="shared" si="14"/>
        <v>312180</v>
      </c>
      <c r="AJ51" s="124">
        <f t="shared" si="14"/>
        <v>312180</v>
      </c>
      <c r="AK51" s="124">
        <f t="shared" si="14"/>
        <v>312180</v>
      </c>
      <c r="AL51" s="124">
        <f t="shared" si="14"/>
        <v>369972</v>
      </c>
      <c r="AM51" s="124">
        <f t="shared" si="14"/>
        <v>369972</v>
      </c>
      <c r="AN51" s="124">
        <f t="shared" si="14"/>
        <v>369972</v>
      </c>
      <c r="AO51" s="124">
        <f t="shared" si="14"/>
        <v>513196</v>
      </c>
      <c r="AP51" s="124">
        <f t="shared" si="14"/>
        <v>357395.99973601074</v>
      </c>
      <c r="AQ51" s="124">
        <f t="shared" si="14"/>
        <v>356395.99973601074</v>
      </c>
      <c r="AR51" s="124">
        <f t="shared" si="14"/>
        <v>1546515.9997360108</v>
      </c>
      <c r="AS51" s="124">
        <f t="shared" si="14"/>
        <v>1545515.9997360108</v>
      </c>
      <c r="AT51" s="124">
        <f t="shared" si="14"/>
        <v>1544515.9997360108</v>
      </c>
      <c r="AU51" s="124">
        <f t="shared" si="14"/>
        <v>2755275.999736011</v>
      </c>
      <c r="AV51" s="124">
        <f t="shared" si="14"/>
        <v>2754275.999736011</v>
      </c>
      <c r="AW51" s="124">
        <f t="shared" ref="AW51" si="15">AV51+AW49</f>
        <v>2753275.999736011</v>
      </c>
      <c r="AX51" s="124">
        <f t="shared" ref="AX51" si="16">AW51+AX49</f>
        <v>3984675.999736011</v>
      </c>
      <c r="AY51" s="124">
        <f t="shared" ref="AY51" si="17">AX51+AY49</f>
        <v>3983675.999736011</v>
      </c>
      <c r="AZ51" s="124">
        <f t="shared" ref="AZ51" si="18">AY51+AZ49</f>
        <v>3982675.999736011</v>
      </c>
      <c r="BA51" s="124">
        <f t="shared" ref="BA51" si="19">AZ51+BA49</f>
        <v>0.35848601069301367</v>
      </c>
    </row>
    <row r="52" spans="1:53" x14ac:dyDescent="0.15">
      <c r="A52" s="15"/>
      <c r="B52" s="15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</row>
    <row r="53" spans="1:53" x14ac:dyDescent="0.15">
      <c r="A53" s="10"/>
      <c r="B53" s="15"/>
      <c r="C53" s="104"/>
      <c r="D53" s="104"/>
      <c r="E53" s="104"/>
      <c r="F53" s="111"/>
      <c r="G53" s="125"/>
      <c r="H53" s="104"/>
      <c r="I53" s="104"/>
      <c r="J53" s="104"/>
      <c r="K53" s="104"/>
      <c r="L53" s="104"/>
      <c r="M53" s="111"/>
      <c r="N53" s="111"/>
      <c r="O53" s="111"/>
      <c r="P53" s="111"/>
      <c r="Q53" s="111"/>
      <c r="R53" s="111"/>
      <c r="S53" s="111"/>
      <c r="T53" s="111"/>
      <c r="U53" s="111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</row>
    <row r="54" spans="1:53" x14ac:dyDescent="0.15">
      <c r="A54" s="10" t="s">
        <v>27</v>
      </c>
      <c r="B54" s="15"/>
      <c r="C54" s="104"/>
      <c r="D54" s="104"/>
      <c r="E54" s="104"/>
      <c r="F54" s="126"/>
      <c r="G54" s="125"/>
      <c r="H54" s="104"/>
      <c r="I54" s="104"/>
      <c r="J54" s="104"/>
      <c r="K54" s="104"/>
      <c r="L54" s="104"/>
      <c r="M54" s="111"/>
      <c r="N54" s="111"/>
      <c r="O54" s="111"/>
      <c r="P54" s="111"/>
      <c r="Q54" s="111"/>
      <c r="R54" s="111"/>
      <c r="S54" s="111"/>
      <c r="T54" s="111"/>
      <c r="U54" s="111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</row>
    <row r="55" spans="1:53" x14ac:dyDescent="0.15">
      <c r="A55" s="30" t="s">
        <v>15</v>
      </c>
      <c r="B55" s="15"/>
      <c r="C55" s="104"/>
      <c r="D55" s="104"/>
      <c r="E55" s="104"/>
      <c r="F55" s="126">
        <v>0</v>
      </c>
      <c r="G55" s="126">
        <f>F57</f>
        <v>0</v>
      </c>
      <c r="H55" s="126">
        <f t="shared" ref="H55:BA55" si="20">G57</f>
        <v>0</v>
      </c>
      <c r="I55" s="126">
        <f t="shared" si="20"/>
        <v>0</v>
      </c>
      <c r="J55" s="126">
        <f t="shared" si="20"/>
        <v>0</v>
      </c>
      <c r="K55" s="126">
        <f t="shared" si="20"/>
        <v>0</v>
      </c>
      <c r="L55" s="126">
        <f t="shared" si="20"/>
        <v>0</v>
      </c>
      <c r="M55" s="126">
        <f t="shared" si="20"/>
        <v>0</v>
      </c>
      <c r="N55" s="126">
        <f t="shared" si="20"/>
        <v>0</v>
      </c>
      <c r="O55" s="126">
        <f t="shared" si="20"/>
        <v>0</v>
      </c>
      <c r="P55" s="126">
        <f t="shared" si="20"/>
        <v>0</v>
      </c>
      <c r="Q55" s="126">
        <f t="shared" si="20"/>
        <v>0</v>
      </c>
      <c r="R55" s="126">
        <f t="shared" si="20"/>
        <v>0</v>
      </c>
      <c r="S55" s="126">
        <f t="shared" si="20"/>
        <v>0</v>
      </c>
      <c r="T55" s="126">
        <f t="shared" si="20"/>
        <v>0</v>
      </c>
      <c r="U55" s="126">
        <f t="shared" si="20"/>
        <v>38700</v>
      </c>
      <c r="V55" s="126">
        <f t="shared" si="20"/>
        <v>38700</v>
      </c>
      <c r="W55" s="126">
        <f t="shared" si="20"/>
        <v>38700</v>
      </c>
      <c r="X55" s="126">
        <f t="shared" si="20"/>
        <v>91332</v>
      </c>
      <c r="Y55" s="126">
        <f t="shared" si="20"/>
        <v>91332</v>
      </c>
      <c r="Z55" s="126">
        <f t="shared" si="20"/>
        <v>91332</v>
      </c>
      <c r="AA55" s="126">
        <f t="shared" si="20"/>
        <v>144996</v>
      </c>
      <c r="AB55" s="126">
        <f t="shared" si="20"/>
        <v>144996</v>
      </c>
      <c r="AC55" s="126">
        <f t="shared" si="20"/>
        <v>144996</v>
      </c>
      <c r="AD55" s="126">
        <f t="shared" si="20"/>
        <v>199692</v>
      </c>
      <c r="AE55" s="126">
        <f t="shared" si="20"/>
        <v>199692</v>
      </c>
      <c r="AF55" s="126">
        <f t="shared" si="20"/>
        <v>199692</v>
      </c>
      <c r="AG55" s="126">
        <f t="shared" si="20"/>
        <v>255420</v>
      </c>
      <c r="AH55" s="126">
        <f t="shared" si="20"/>
        <v>255420</v>
      </c>
      <c r="AI55" s="126">
        <f t="shared" si="20"/>
        <v>255420</v>
      </c>
      <c r="AJ55" s="126">
        <f t="shared" si="20"/>
        <v>312180</v>
      </c>
      <c r="AK55" s="126">
        <f t="shared" si="20"/>
        <v>312180</v>
      </c>
      <c r="AL55" s="126">
        <f t="shared" si="20"/>
        <v>312180</v>
      </c>
      <c r="AM55" s="126">
        <f t="shared" si="20"/>
        <v>369972</v>
      </c>
      <c r="AN55" s="126">
        <f t="shared" si="20"/>
        <v>369972</v>
      </c>
      <c r="AO55" s="126">
        <f t="shared" si="20"/>
        <v>369972</v>
      </c>
      <c r="AP55" s="126">
        <f t="shared" si="20"/>
        <v>513196</v>
      </c>
      <c r="AQ55" s="126">
        <f t="shared" si="20"/>
        <v>357395.99973601074</v>
      </c>
      <c r="AR55" s="126">
        <f t="shared" si="20"/>
        <v>356395.99973601074</v>
      </c>
      <c r="AS55" s="126">
        <f t="shared" si="20"/>
        <v>1546515.9997360108</v>
      </c>
      <c r="AT55" s="126">
        <f t="shared" si="20"/>
        <v>1545515.9997360108</v>
      </c>
      <c r="AU55" s="126">
        <f t="shared" si="20"/>
        <v>1544515.9997360108</v>
      </c>
      <c r="AV55" s="126">
        <f t="shared" si="20"/>
        <v>2755275.999736011</v>
      </c>
      <c r="AW55" s="126">
        <f t="shared" si="20"/>
        <v>0</v>
      </c>
      <c r="AX55" s="126">
        <f t="shared" si="20"/>
        <v>0</v>
      </c>
      <c r="AY55" s="126">
        <f t="shared" si="20"/>
        <v>0</v>
      </c>
      <c r="AZ55" s="126">
        <f t="shared" si="20"/>
        <v>0</v>
      </c>
      <c r="BA55" s="126">
        <f t="shared" si="20"/>
        <v>0</v>
      </c>
    </row>
    <row r="56" spans="1:53" x14ac:dyDescent="0.15">
      <c r="A56" s="136" t="s">
        <v>124</v>
      </c>
      <c r="B56" s="15"/>
      <c r="C56" s="104"/>
      <c r="D56" s="104"/>
      <c r="E56" s="104"/>
      <c r="F56" s="126">
        <v>0</v>
      </c>
      <c r="G56" s="126">
        <f>+G49</f>
        <v>0</v>
      </c>
      <c r="H56" s="126">
        <f t="shared" ref="H56:BA56" si="21">+H49</f>
        <v>0</v>
      </c>
      <c r="I56" s="126">
        <f t="shared" si="21"/>
        <v>0</v>
      </c>
      <c r="J56" s="126">
        <f t="shared" si="21"/>
        <v>0</v>
      </c>
      <c r="K56" s="126">
        <f t="shared" si="21"/>
        <v>0</v>
      </c>
      <c r="L56" s="126">
        <f t="shared" si="21"/>
        <v>0</v>
      </c>
      <c r="M56" s="126">
        <f t="shared" si="21"/>
        <v>0</v>
      </c>
      <c r="N56" s="126">
        <f t="shared" si="21"/>
        <v>0</v>
      </c>
      <c r="O56" s="126">
        <f t="shared" si="21"/>
        <v>0</v>
      </c>
      <c r="P56" s="126">
        <f t="shared" si="21"/>
        <v>0</v>
      </c>
      <c r="Q56" s="126">
        <f t="shared" si="21"/>
        <v>0</v>
      </c>
      <c r="R56" s="126">
        <f t="shared" si="21"/>
        <v>0</v>
      </c>
      <c r="S56" s="126">
        <f t="shared" si="21"/>
        <v>0</v>
      </c>
      <c r="T56" s="126">
        <f t="shared" si="21"/>
        <v>38700</v>
      </c>
      <c r="U56" s="126">
        <f t="shared" si="21"/>
        <v>0</v>
      </c>
      <c r="V56" s="126">
        <f t="shared" si="21"/>
        <v>0</v>
      </c>
      <c r="W56" s="126">
        <f t="shared" si="21"/>
        <v>52632</v>
      </c>
      <c r="X56" s="126">
        <f t="shared" si="21"/>
        <v>0</v>
      </c>
      <c r="Y56" s="126">
        <f t="shared" si="21"/>
        <v>0</v>
      </c>
      <c r="Z56" s="126">
        <f t="shared" si="21"/>
        <v>53664</v>
      </c>
      <c r="AA56" s="126">
        <f t="shared" si="21"/>
        <v>0</v>
      </c>
      <c r="AB56" s="126">
        <f t="shared" si="21"/>
        <v>0</v>
      </c>
      <c r="AC56" s="126">
        <f t="shared" si="21"/>
        <v>54696</v>
      </c>
      <c r="AD56" s="126">
        <f t="shared" si="21"/>
        <v>0</v>
      </c>
      <c r="AE56" s="126">
        <f t="shared" si="21"/>
        <v>0</v>
      </c>
      <c r="AF56" s="126">
        <f t="shared" si="21"/>
        <v>55728</v>
      </c>
      <c r="AG56" s="126">
        <f t="shared" si="21"/>
        <v>0</v>
      </c>
      <c r="AH56" s="126">
        <f t="shared" si="21"/>
        <v>0</v>
      </c>
      <c r="AI56" s="126">
        <f t="shared" si="21"/>
        <v>56760</v>
      </c>
      <c r="AJ56" s="126">
        <f t="shared" si="21"/>
        <v>0</v>
      </c>
      <c r="AK56" s="126">
        <f t="shared" si="21"/>
        <v>0</v>
      </c>
      <c r="AL56" s="126">
        <f t="shared" si="21"/>
        <v>57792</v>
      </c>
      <c r="AM56" s="126">
        <f t="shared" si="21"/>
        <v>0</v>
      </c>
      <c r="AN56" s="126">
        <f t="shared" si="21"/>
        <v>0</v>
      </c>
      <c r="AO56" s="126">
        <f t="shared" si="21"/>
        <v>143224</v>
      </c>
      <c r="AP56" s="126">
        <f t="shared" si="21"/>
        <v>-155800.00026398926</v>
      </c>
      <c r="AQ56" s="126">
        <f t="shared" si="21"/>
        <v>-1000</v>
      </c>
      <c r="AR56" s="126">
        <f t="shared" si="21"/>
        <v>1190120</v>
      </c>
      <c r="AS56" s="126">
        <f t="shared" si="21"/>
        <v>-1000</v>
      </c>
      <c r="AT56" s="126">
        <f t="shared" si="21"/>
        <v>-1000</v>
      </c>
      <c r="AU56" s="126">
        <f t="shared" si="21"/>
        <v>1210760</v>
      </c>
      <c r="AV56" s="126">
        <f t="shared" si="21"/>
        <v>-1000</v>
      </c>
      <c r="AW56" s="126">
        <f t="shared" si="21"/>
        <v>-1000</v>
      </c>
      <c r="AX56" s="126">
        <f t="shared" si="21"/>
        <v>1231400</v>
      </c>
      <c r="AY56" s="126">
        <f t="shared" si="21"/>
        <v>-1000</v>
      </c>
      <c r="AZ56" s="126">
        <f t="shared" si="21"/>
        <v>-1000</v>
      </c>
      <c r="BA56" s="126">
        <f t="shared" si="21"/>
        <v>-3982675.6412500003</v>
      </c>
    </row>
    <row r="57" spans="1:53" x14ac:dyDescent="0.15">
      <c r="A57" s="30" t="s">
        <v>16</v>
      </c>
      <c r="B57" s="15"/>
      <c r="C57" s="104"/>
      <c r="D57" s="104"/>
      <c r="E57" s="104"/>
      <c r="F57" s="120">
        <f>SUM(F56)</f>
        <v>0</v>
      </c>
      <c r="G57" s="120">
        <f>SUM(G55:G56)</f>
        <v>0</v>
      </c>
      <c r="H57" s="120">
        <f>SUM(H55:H56)</f>
        <v>0</v>
      </c>
      <c r="I57" s="120">
        <f t="shared" ref="I57:W57" si="22">SUM(I55:I56)</f>
        <v>0</v>
      </c>
      <c r="J57" s="120">
        <f t="shared" si="22"/>
        <v>0</v>
      </c>
      <c r="K57" s="120">
        <f t="shared" si="22"/>
        <v>0</v>
      </c>
      <c r="L57" s="120">
        <f t="shared" si="22"/>
        <v>0</v>
      </c>
      <c r="M57" s="120">
        <f>SUM(M55:M56)</f>
        <v>0</v>
      </c>
      <c r="N57" s="120">
        <f>SUM(N55:N56)</f>
        <v>0</v>
      </c>
      <c r="O57" s="120">
        <f t="shared" si="22"/>
        <v>0</v>
      </c>
      <c r="P57" s="120">
        <f t="shared" si="22"/>
        <v>0</v>
      </c>
      <c r="Q57" s="120">
        <f t="shared" si="22"/>
        <v>0</v>
      </c>
      <c r="R57" s="120">
        <f t="shared" si="22"/>
        <v>0</v>
      </c>
      <c r="S57" s="120">
        <f t="shared" si="22"/>
        <v>0</v>
      </c>
      <c r="T57" s="120">
        <f t="shared" si="22"/>
        <v>38700</v>
      </c>
      <c r="U57" s="120">
        <f t="shared" si="22"/>
        <v>38700</v>
      </c>
      <c r="V57" s="120">
        <f t="shared" si="22"/>
        <v>38700</v>
      </c>
      <c r="W57" s="120">
        <f t="shared" si="22"/>
        <v>91332</v>
      </c>
      <c r="X57" s="120">
        <f>SUM(X55:X56)</f>
        <v>91332</v>
      </c>
      <c r="Y57" s="120">
        <f>SUM(Y55:Y56)</f>
        <v>91332</v>
      </c>
      <c r="Z57" s="120">
        <f>SUM(Z55:Z56)</f>
        <v>144996</v>
      </c>
      <c r="AA57" s="120">
        <f t="shared" ref="AA57:AF57" si="23">SUM(AA55:AA56)</f>
        <v>144996</v>
      </c>
      <c r="AB57" s="120">
        <f t="shared" si="23"/>
        <v>144996</v>
      </c>
      <c r="AC57" s="120">
        <f t="shared" si="23"/>
        <v>199692</v>
      </c>
      <c r="AD57" s="120">
        <f t="shared" si="23"/>
        <v>199692</v>
      </c>
      <c r="AE57" s="120">
        <f t="shared" si="23"/>
        <v>199692</v>
      </c>
      <c r="AF57" s="120">
        <f t="shared" si="23"/>
        <v>255420</v>
      </c>
      <c r="AG57" s="120">
        <f t="shared" ref="AG57:AL57" si="24">SUM(AG55:AG56)</f>
        <v>255420</v>
      </c>
      <c r="AH57" s="120">
        <f t="shared" si="24"/>
        <v>255420</v>
      </c>
      <c r="AI57" s="120">
        <f t="shared" si="24"/>
        <v>312180</v>
      </c>
      <c r="AJ57" s="120">
        <f t="shared" si="24"/>
        <v>312180</v>
      </c>
      <c r="AK57" s="120">
        <f t="shared" si="24"/>
        <v>312180</v>
      </c>
      <c r="AL57" s="120">
        <f t="shared" si="24"/>
        <v>369972</v>
      </c>
      <c r="AM57" s="120">
        <f t="shared" ref="AM57:AU57" si="25">SUM(AM55:AM56)</f>
        <v>369972</v>
      </c>
      <c r="AN57" s="120">
        <f t="shared" si="25"/>
        <v>369972</v>
      </c>
      <c r="AO57" s="120">
        <f t="shared" si="25"/>
        <v>513196</v>
      </c>
      <c r="AP57" s="120">
        <f t="shared" si="25"/>
        <v>357395.99973601074</v>
      </c>
      <c r="AQ57" s="120">
        <f t="shared" si="25"/>
        <v>356395.99973601074</v>
      </c>
      <c r="AR57" s="120">
        <f t="shared" si="25"/>
        <v>1546515.9997360108</v>
      </c>
      <c r="AS57" s="120">
        <f t="shared" si="25"/>
        <v>1545515.9997360108</v>
      </c>
      <c r="AT57" s="120">
        <f t="shared" si="25"/>
        <v>1544515.9997360108</v>
      </c>
      <c r="AU57" s="120">
        <f t="shared" si="25"/>
        <v>2755275.999736011</v>
      </c>
      <c r="AV57" s="126">
        <v>0</v>
      </c>
      <c r="AW57" s="126">
        <v>0</v>
      </c>
      <c r="AX57" s="126">
        <v>0</v>
      </c>
      <c r="AY57" s="126">
        <v>0</v>
      </c>
      <c r="AZ57" s="126">
        <v>0</v>
      </c>
      <c r="BA57" s="126">
        <v>0</v>
      </c>
    </row>
    <row r="58" spans="1:53" x14ac:dyDescent="0.15">
      <c r="A58" s="10"/>
      <c r="B58" s="15"/>
      <c r="C58" s="104"/>
      <c r="D58" s="104"/>
      <c r="E58" s="104"/>
      <c r="F58" s="111"/>
      <c r="G58" s="125"/>
      <c r="H58" s="104"/>
      <c r="I58" s="104"/>
      <c r="J58" s="104"/>
      <c r="K58" s="104"/>
      <c r="L58" s="104"/>
      <c r="M58" s="111"/>
      <c r="N58" s="111"/>
      <c r="O58" s="111"/>
      <c r="P58" s="111"/>
      <c r="Q58" s="111"/>
      <c r="R58" s="111"/>
      <c r="S58" s="111"/>
      <c r="T58" s="111"/>
      <c r="U58" s="111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</row>
    <row r="59" spans="1:53" x14ac:dyDescent="0.15">
      <c r="A59" s="10" t="s">
        <v>46</v>
      </c>
      <c r="B59" s="15"/>
      <c r="C59" s="104"/>
      <c r="D59" s="104"/>
      <c r="E59" s="104"/>
      <c r="F59" s="111"/>
      <c r="G59" s="125"/>
      <c r="H59" s="104"/>
      <c r="I59" s="104"/>
      <c r="J59" s="104"/>
      <c r="K59" s="104"/>
      <c r="L59" s="104"/>
      <c r="M59" s="111"/>
      <c r="N59" s="111"/>
      <c r="O59" s="111"/>
      <c r="P59" s="111"/>
      <c r="Q59" s="111"/>
      <c r="R59" s="111"/>
      <c r="S59" s="111"/>
      <c r="T59" s="111"/>
      <c r="U59" s="111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</row>
    <row r="60" spans="1:53" x14ac:dyDescent="0.15">
      <c r="A60" s="30" t="s">
        <v>15</v>
      </c>
      <c r="B60" s="15"/>
      <c r="C60" s="104"/>
      <c r="D60" s="104"/>
      <c r="E60" s="104"/>
      <c r="F60" s="126">
        <v>0</v>
      </c>
      <c r="G60" s="126">
        <f>F63</f>
        <v>0</v>
      </c>
      <c r="H60" s="126">
        <f t="shared" ref="H60:BA60" si="26">G63</f>
        <v>0</v>
      </c>
      <c r="I60" s="126">
        <f t="shared" si="26"/>
        <v>0</v>
      </c>
      <c r="J60" s="126">
        <f t="shared" si="26"/>
        <v>0</v>
      </c>
      <c r="K60" s="126">
        <f t="shared" si="26"/>
        <v>-250000</v>
      </c>
      <c r="L60" s="126">
        <f t="shared" si="26"/>
        <v>-250000</v>
      </c>
      <c r="M60" s="126">
        <f t="shared" si="26"/>
        <v>-2798028.6412500003</v>
      </c>
      <c r="N60" s="126">
        <f t="shared" si="26"/>
        <v>-2798028.6412500003</v>
      </c>
      <c r="O60" s="126">
        <f t="shared" si="26"/>
        <v>-2798028.6412500003</v>
      </c>
      <c r="P60" s="126">
        <f t="shared" si="26"/>
        <v>-2798028.6412500003</v>
      </c>
      <c r="Q60" s="126">
        <f t="shared" si="26"/>
        <v>-2798028.6412500003</v>
      </c>
      <c r="R60" s="126">
        <f t="shared" si="26"/>
        <v>-2798028.6412500003</v>
      </c>
      <c r="S60" s="126">
        <f t="shared" si="26"/>
        <v>-2798028.6412500003</v>
      </c>
      <c r="T60" s="126">
        <f t="shared" si="26"/>
        <v>-2798028.6412500003</v>
      </c>
      <c r="U60" s="126">
        <f t="shared" si="26"/>
        <v>-2798028.6412500003</v>
      </c>
      <c r="V60" s="126">
        <f t="shared" si="26"/>
        <v>-2798028.6412500003</v>
      </c>
      <c r="W60" s="126">
        <f t="shared" si="26"/>
        <v>-2798028.6412500003</v>
      </c>
      <c r="X60" s="126">
        <f t="shared" si="26"/>
        <v>-2798028.6412500003</v>
      </c>
      <c r="Y60" s="126">
        <f t="shared" si="26"/>
        <v>-2798028.6412500003</v>
      </c>
      <c r="Z60" s="126">
        <f t="shared" si="26"/>
        <v>-2798028.6412500003</v>
      </c>
      <c r="AA60" s="126">
        <f t="shared" si="26"/>
        <v>-2798028.6412500003</v>
      </c>
      <c r="AB60" s="126">
        <f t="shared" si="26"/>
        <v>-2798028.6412500003</v>
      </c>
      <c r="AC60" s="126">
        <f t="shared" si="26"/>
        <v>-2798028.6412500003</v>
      </c>
      <c r="AD60" s="126">
        <f t="shared" si="26"/>
        <v>-2798028.6412500003</v>
      </c>
      <c r="AE60" s="126">
        <f t="shared" si="26"/>
        <v>-2798028.6412500003</v>
      </c>
      <c r="AF60" s="126">
        <f t="shared" si="26"/>
        <v>-2798028.6412500003</v>
      </c>
      <c r="AG60" s="126">
        <f t="shared" si="26"/>
        <v>-2798028.6412500003</v>
      </c>
      <c r="AH60" s="126">
        <f t="shared" si="26"/>
        <v>-2798028.6412500003</v>
      </c>
      <c r="AI60" s="126">
        <f t="shared" si="26"/>
        <v>-2798028.6412500003</v>
      </c>
      <c r="AJ60" s="126">
        <f t="shared" si="26"/>
        <v>-2798028.6412500003</v>
      </c>
      <c r="AK60" s="126">
        <f t="shared" si="26"/>
        <v>-2798028.6412500003</v>
      </c>
      <c r="AL60" s="126">
        <f t="shared" si="26"/>
        <v>-2798028.6412500003</v>
      </c>
      <c r="AM60" s="126">
        <f t="shared" si="26"/>
        <v>-2798028.6412500003</v>
      </c>
      <c r="AN60" s="126">
        <f t="shared" si="26"/>
        <v>-2798028.6412500003</v>
      </c>
      <c r="AO60" s="126">
        <f t="shared" si="26"/>
        <v>-2798028.6412500003</v>
      </c>
      <c r="AP60" s="126">
        <f t="shared" si="26"/>
        <v>-2798028.6412500003</v>
      </c>
      <c r="AQ60" s="126">
        <f t="shared" si="26"/>
        <v>-2798028.6412500003</v>
      </c>
      <c r="AR60" s="126">
        <f t="shared" si="26"/>
        <v>-2798028.6412500003</v>
      </c>
      <c r="AS60" s="126">
        <f t="shared" si="26"/>
        <v>-2798028.6412500003</v>
      </c>
      <c r="AT60" s="126">
        <f t="shared" si="26"/>
        <v>-2798028.6412500003</v>
      </c>
      <c r="AU60" s="126">
        <f t="shared" si="26"/>
        <v>-2798028.6412500003</v>
      </c>
      <c r="AV60" s="126">
        <f t="shared" si="26"/>
        <v>-2798028.6412500003</v>
      </c>
      <c r="AW60" s="126">
        <f t="shared" si="26"/>
        <v>-2798028.6412500003</v>
      </c>
      <c r="AX60" s="126">
        <f t="shared" si="26"/>
        <v>-2798028.6412500003</v>
      </c>
      <c r="AY60" s="126">
        <f t="shared" si="26"/>
        <v>-2798028.6412500003</v>
      </c>
      <c r="AZ60" s="126">
        <f t="shared" si="26"/>
        <v>-2798028.6412500003</v>
      </c>
      <c r="BA60" s="126">
        <f t="shared" si="26"/>
        <v>-2798028.6412500003</v>
      </c>
    </row>
    <row r="61" spans="1:53" x14ac:dyDescent="0.15">
      <c r="A61" s="30" t="s">
        <v>28</v>
      </c>
      <c r="B61" s="15"/>
      <c r="C61" s="104"/>
      <c r="D61" s="104"/>
      <c r="E61" s="104"/>
      <c r="F61" s="126">
        <v>0</v>
      </c>
      <c r="G61" s="126">
        <f>-G8</f>
        <v>0</v>
      </c>
      <c r="H61" s="126">
        <f t="shared" ref="H61:BA61" si="27">-H8</f>
        <v>0</v>
      </c>
      <c r="I61" s="126">
        <f t="shared" si="27"/>
        <v>0</v>
      </c>
      <c r="J61" s="126">
        <f t="shared" si="27"/>
        <v>-250000</v>
      </c>
      <c r="K61" s="126">
        <f t="shared" si="27"/>
        <v>0</v>
      </c>
      <c r="L61" s="126">
        <f t="shared" si="27"/>
        <v>-2548028.6412500003</v>
      </c>
      <c r="M61" s="126">
        <f t="shared" si="27"/>
        <v>0</v>
      </c>
      <c r="N61" s="126">
        <f t="shared" si="27"/>
        <v>0</v>
      </c>
      <c r="O61" s="126">
        <f t="shared" si="27"/>
        <v>0</v>
      </c>
      <c r="P61" s="126">
        <f t="shared" si="27"/>
        <v>0</v>
      </c>
      <c r="Q61" s="126">
        <f t="shared" si="27"/>
        <v>0</v>
      </c>
      <c r="R61" s="126">
        <f t="shared" si="27"/>
        <v>0</v>
      </c>
      <c r="S61" s="126">
        <f t="shared" si="27"/>
        <v>0</v>
      </c>
      <c r="T61" s="126">
        <f t="shared" si="27"/>
        <v>0</v>
      </c>
      <c r="U61" s="126">
        <f t="shared" si="27"/>
        <v>0</v>
      </c>
      <c r="V61" s="126">
        <f t="shared" si="27"/>
        <v>0</v>
      </c>
      <c r="W61" s="126">
        <f t="shared" si="27"/>
        <v>0</v>
      </c>
      <c r="X61" s="126">
        <f t="shared" si="27"/>
        <v>0</v>
      </c>
      <c r="Y61" s="126">
        <f t="shared" si="27"/>
        <v>0</v>
      </c>
      <c r="Z61" s="126">
        <f t="shared" si="27"/>
        <v>0</v>
      </c>
      <c r="AA61" s="126">
        <f t="shared" si="27"/>
        <v>0</v>
      </c>
      <c r="AB61" s="126">
        <f t="shared" si="27"/>
        <v>0</v>
      </c>
      <c r="AC61" s="126">
        <f t="shared" si="27"/>
        <v>0</v>
      </c>
      <c r="AD61" s="126">
        <f t="shared" si="27"/>
        <v>0</v>
      </c>
      <c r="AE61" s="126">
        <f t="shared" si="27"/>
        <v>0</v>
      </c>
      <c r="AF61" s="126">
        <f t="shared" si="27"/>
        <v>0</v>
      </c>
      <c r="AG61" s="126">
        <f t="shared" si="27"/>
        <v>0</v>
      </c>
      <c r="AH61" s="126">
        <f t="shared" si="27"/>
        <v>0</v>
      </c>
      <c r="AI61" s="126">
        <f t="shared" si="27"/>
        <v>0</v>
      </c>
      <c r="AJ61" s="126">
        <f t="shared" si="27"/>
        <v>0</v>
      </c>
      <c r="AK61" s="126">
        <f t="shared" si="27"/>
        <v>0</v>
      </c>
      <c r="AL61" s="126">
        <f t="shared" si="27"/>
        <v>0</v>
      </c>
      <c r="AM61" s="126">
        <f t="shared" si="27"/>
        <v>0</v>
      </c>
      <c r="AN61" s="126">
        <f t="shared" si="27"/>
        <v>0</v>
      </c>
      <c r="AO61" s="126">
        <f t="shared" si="27"/>
        <v>0</v>
      </c>
      <c r="AP61" s="126">
        <f t="shared" si="27"/>
        <v>0</v>
      </c>
      <c r="AQ61" s="126">
        <f t="shared" si="27"/>
        <v>0</v>
      </c>
      <c r="AR61" s="126">
        <f t="shared" si="27"/>
        <v>0</v>
      </c>
      <c r="AS61" s="126">
        <f t="shared" si="27"/>
        <v>0</v>
      </c>
      <c r="AT61" s="126">
        <f t="shared" si="27"/>
        <v>0</v>
      </c>
      <c r="AU61" s="126">
        <f t="shared" si="27"/>
        <v>0</v>
      </c>
      <c r="AV61" s="126">
        <f t="shared" si="27"/>
        <v>0</v>
      </c>
      <c r="AW61" s="126">
        <f t="shared" si="27"/>
        <v>0</v>
      </c>
      <c r="AX61" s="126">
        <f t="shared" si="27"/>
        <v>0</v>
      </c>
      <c r="AY61" s="126">
        <f t="shared" si="27"/>
        <v>0</v>
      </c>
      <c r="AZ61" s="126">
        <f t="shared" si="27"/>
        <v>0</v>
      </c>
      <c r="BA61" s="126">
        <f t="shared" si="27"/>
        <v>0</v>
      </c>
    </row>
    <row r="62" spans="1:53" x14ac:dyDescent="0.15">
      <c r="A62" s="30" t="s">
        <v>25</v>
      </c>
      <c r="B62" s="15"/>
      <c r="C62" s="104"/>
      <c r="D62" s="104"/>
      <c r="E62" s="104"/>
      <c r="F62" s="126">
        <v>0</v>
      </c>
      <c r="G62" s="126">
        <f>-G38</f>
        <v>0</v>
      </c>
      <c r="H62" s="126">
        <f t="shared" ref="H62:BA62" si="28">-H38</f>
        <v>0</v>
      </c>
      <c r="I62" s="126">
        <f t="shared" si="28"/>
        <v>0</v>
      </c>
      <c r="J62" s="126">
        <f t="shared" si="28"/>
        <v>0</v>
      </c>
      <c r="K62" s="126">
        <f t="shared" si="28"/>
        <v>0</v>
      </c>
      <c r="L62" s="126">
        <f t="shared" si="28"/>
        <v>0</v>
      </c>
      <c r="M62" s="126">
        <f t="shared" si="28"/>
        <v>0</v>
      </c>
      <c r="N62" s="126">
        <f t="shared" si="28"/>
        <v>0</v>
      </c>
      <c r="O62" s="126">
        <f t="shared" si="28"/>
        <v>0</v>
      </c>
      <c r="P62" s="126">
        <f t="shared" si="28"/>
        <v>0</v>
      </c>
      <c r="Q62" s="126">
        <f t="shared" si="28"/>
        <v>0</v>
      </c>
      <c r="R62" s="126">
        <f t="shared" si="28"/>
        <v>0</v>
      </c>
      <c r="S62" s="126">
        <f t="shared" si="28"/>
        <v>0</v>
      </c>
      <c r="T62" s="126">
        <f t="shared" si="28"/>
        <v>0</v>
      </c>
      <c r="U62" s="126">
        <f t="shared" si="28"/>
        <v>0</v>
      </c>
      <c r="V62" s="126">
        <f t="shared" si="28"/>
        <v>0</v>
      </c>
      <c r="W62" s="126">
        <f t="shared" si="28"/>
        <v>0</v>
      </c>
      <c r="X62" s="126">
        <f t="shared" si="28"/>
        <v>0</v>
      </c>
      <c r="Y62" s="126">
        <f t="shared" si="28"/>
        <v>0</v>
      </c>
      <c r="Z62" s="126">
        <f t="shared" si="28"/>
        <v>0</v>
      </c>
      <c r="AA62" s="126">
        <f t="shared" si="28"/>
        <v>0</v>
      </c>
      <c r="AB62" s="126">
        <f t="shared" si="28"/>
        <v>0</v>
      </c>
      <c r="AC62" s="126">
        <f t="shared" si="28"/>
        <v>0</v>
      </c>
      <c r="AD62" s="126">
        <f t="shared" si="28"/>
        <v>0</v>
      </c>
      <c r="AE62" s="126">
        <f t="shared" si="28"/>
        <v>0</v>
      </c>
      <c r="AF62" s="126">
        <f t="shared" si="28"/>
        <v>0</v>
      </c>
      <c r="AG62" s="126">
        <f t="shared" si="28"/>
        <v>0</v>
      </c>
      <c r="AH62" s="126">
        <f t="shared" si="28"/>
        <v>0</v>
      </c>
      <c r="AI62" s="126">
        <f t="shared" si="28"/>
        <v>0</v>
      </c>
      <c r="AJ62" s="126">
        <f t="shared" si="28"/>
        <v>0</v>
      </c>
      <c r="AK62" s="126">
        <f t="shared" si="28"/>
        <v>0</v>
      </c>
      <c r="AL62" s="126">
        <f t="shared" si="28"/>
        <v>0</v>
      </c>
      <c r="AM62" s="126">
        <f t="shared" si="28"/>
        <v>0</v>
      </c>
      <c r="AN62" s="126">
        <f t="shared" si="28"/>
        <v>0</v>
      </c>
      <c r="AO62" s="126">
        <f t="shared" si="28"/>
        <v>0</v>
      </c>
      <c r="AP62" s="126">
        <f t="shared" si="28"/>
        <v>0</v>
      </c>
      <c r="AQ62" s="126">
        <f t="shared" si="28"/>
        <v>0</v>
      </c>
      <c r="AR62" s="126">
        <f t="shared" si="28"/>
        <v>0</v>
      </c>
      <c r="AS62" s="126">
        <f t="shared" si="28"/>
        <v>0</v>
      </c>
      <c r="AT62" s="126">
        <f t="shared" si="28"/>
        <v>0</v>
      </c>
      <c r="AU62" s="126">
        <f t="shared" si="28"/>
        <v>0</v>
      </c>
      <c r="AV62" s="126">
        <f t="shared" si="28"/>
        <v>0</v>
      </c>
      <c r="AW62" s="126">
        <f t="shared" si="28"/>
        <v>0</v>
      </c>
      <c r="AX62" s="126">
        <f t="shared" si="28"/>
        <v>0</v>
      </c>
      <c r="AY62" s="126">
        <f t="shared" si="28"/>
        <v>0</v>
      </c>
      <c r="AZ62" s="126">
        <f t="shared" si="28"/>
        <v>0</v>
      </c>
      <c r="BA62" s="126">
        <f t="shared" si="28"/>
        <v>2798028.6412500003</v>
      </c>
    </row>
    <row r="63" spans="1:53" x14ac:dyDescent="0.15">
      <c r="A63" s="30" t="s">
        <v>16</v>
      </c>
      <c r="B63" s="15"/>
      <c r="C63" s="104"/>
      <c r="D63" s="104"/>
      <c r="E63" s="104"/>
      <c r="F63" s="120">
        <f>SUM(F60:F62)</f>
        <v>0</v>
      </c>
      <c r="G63" s="120">
        <f t="shared" ref="G63:W63" si="29">SUM(G60:G62)</f>
        <v>0</v>
      </c>
      <c r="H63" s="120">
        <f t="shared" si="29"/>
        <v>0</v>
      </c>
      <c r="I63" s="120">
        <f t="shared" si="29"/>
        <v>0</v>
      </c>
      <c r="J63" s="120">
        <f t="shared" si="29"/>
        <v>-250000</v>
      </c>
      <c r="K63" s="120">
        <f t="shared" si="29"/>
        <v>-250000</v>
      </c>
      <c r="L63" s="120">
        <f t="shared" si="29"/>
        <v>-2798028.6412500003</v>
      </c>
      <c r="M63" s="120">
        <f t="shared" si="29"/>
        <v>-2798028.6412500003</v>
      </c>
      <c r="N63" s="120">
        <f t="shared" si="29"/>
        <v>-2798028.6412500003</v>
      </c>
      <c r="O63" s="120">
        <f t="shared" si="29"/>
        <v>-2798028.6412500003</v>
      </c>
      <c r="P63" s="120">
        <f t="shared" si="29"/>
        <v>-2798028.6412500003</v>
      </c>
      <c r="Q63" s="120">
        <f t="shared" si="29"/>
        <v>-2798028.6412500003</v>
      </c>
      <c r="R63" s="120">
        <f t="shared" si="29"/>
        <v>-2798028.6412500003</v>
      </c>
      <c r="S63" s="120">
        <f t="shared" si="29"/>
        <v>-2798028.6412500003</v>
      </c>
      <c r="T63" s="120">
        <f t="shared" si="29"/>
        <v>-2798028.6412500003</v>
      </c>
      <c r="U63" s="120">
        <f t="shared" si="29"/>
        <v>-2798028.6412500003</v>
      </c>
      <c r="V63" s="120">
        <f t="shared" si="29"/>
        <v>-2798028.6412500003</v>
      </c>
      <c r="W63" s="120">
        <f t="shared" si="29"/>
        <v>-2798028.6412500003</v>
      </c>
      <c r="X63" s="120">
        <f>SUM(X60:X62)</f>
        <v>-2798028.6412500003</v>
      </c>
      <c r="Y63" s="120">
        <f>SUM(Y60:Y62)</f>
        <v>-2798028.6412500003</v>
      </c>
      <c r="Z63" s="120">
        <f>SUM(Z60:Z62)</f>
        <v>-2798028.6412500003</v>
      </c>
      <c r="AA63" s="120">
        <f t="shared" ref="AA63:AF63" si="30">SUM(AA60:AA62)</f>
        <v>-2798028.6412500003</v>
      </c>
      <c r="AB63" s="120">
        <f t="shared" si="30"/>
        <v>-2798028.6412500003</v>
      </c>
      <c r="AC63" s="120">
        <f t="shared" si="30"/>
        <v>-2798028.6412500003</v>
      </c>
      <c r="AD63" s="120">
        <f t="shared" si="30"/>
        <v>-2798028.6412500003</v>
      </c>
      <c r="AE63" s="120">
        <f t="shared" si="30"/>
        <v>-2798028.6412500003</v>
      </c>
      <c r="AF63" s="120">
        <f t="shared" si="30"/>
        <v>-2798028.6412500003</v>
      </c>
      <c r="AG63" s="120">
        <f t="shared" ref="AG63:AL63" si="31">SUM(AG60:AG62)</f>
        <v>-2798028.6412500003</v>
      </c>
      <c r="AH63" s="120">
        <f t="shared" si="31"/>
        <v>-2798028.6412500003</v>
      </c>
      <c r="AI63" s="120">
        <f t="shared" si="31"/>
        <v>-2798028.6412500003</v>
      </c>
      <c r="AJ63" s="120">
        <f t="shared" si="31"/>
        <v>-2798028.6412500003</v>
      </c>
      <c r="AK63" s="120">
        <f t="shared" si="31"/>
        <v>-2798028.6412500003</v>
      </c>
      <c r="AL63" s="120">
        <f t="shared" si="31"/>
        <v>-2798028.6412500003</v>
      </c>
      <c r="AM63" s="120">
        <f t="shared" ref="AM63:AU63" si="32">SUM(AM60:AM62)</f>
        <v>-2798028.6412500003</v>
      </c>
      <c r="AN63" s="120">
        <f t="shared" si="32"/>
        <v>-2798028.6412500003</v>
      </c>
      <c r="AO63" s="120">
        <f t="shared" si="32"/>
        <v>-2798028.6412500003</v>
      </c>
      <c r="AP63" s="120">
        <f t="shared" si="32"/>
        <v>-2798028.6412500003</v>
      </c>
      <c r="AQ63" s="120">
        <f t="shared" si="32"/>
        <v>-2798028.6412500003</v>
      </c>
      <c r="AR63" s="120">
        <f t="shared" si="32"/>
        <v>-2798028.6412500003</v>
      </c>
      <c r="AS63" s="120">
        <f t="shared" si="32"/>
        <v>-2798028.6412500003</v>
      </c>
      <c r="AT63" s="120">
        <f t="shared" si="32"/>
        <v>-2798028.6412500003</v>
      </c>
      <c r="AU63" s="120">
        <f t="shared" si="32"/>
        <v>-2798028.6412500003</v>
      </c>
      <c r="AV63" s="120">
        <f t="shared" ref="AV63:BA63" si="33">SUM(AV60:AV62)</f>
        <v>-2798028.6412500003</v>
      </c>
      <c r="AW63" s="120">
        <f t="shared" si="33"/>
        <v>-2798028.6412500003</v>
      </c>
      <c r="AX63" s="120">
        <f t="shared" si="33"/>
        <v>-2798028.6412500003</v>
      </c>
      <c r="AY63" s="120">
        <f t="shared" si="33"/>
        <v>-2798028.6412500003</v>
      </c>
      <c r="AZ63" s="120">
        <f t="shared" si="33"/>
        <v>-2798028.6412500003</v>
      </c>
      <c r="BA63" s="120">
        <f t="shared" si="33"/>
        <v>0</v>
      </c>
    </row>
    <row r="64" spans="1:53" x14ac:dyDescent="0.15">
      <c r="A64" s="10"/>
      <c r="B64" s="15"/>
      <c r="C64" s="104"/>
      <c r="D64" s="104"/>
      <c r="E64" s="104"/>
      <c r="F64" s="111"/>
      <c r="G64" s="125"/>
      <c r="H64" s="104"/>
      <c r="I64" s="104"/>
      <c r="J64" s="104"/>
      <c r="K64" s="104"/>
      <c r="L64" s="104"/>
      <c r="M64" s="111"/>
      <c r="N64" s="111"/>
      <c r="O64" s="111"/>
      <c r="P64" s="111"/>
      <c r="Q64" s="111"/>
      <c r="R64" s="111"/>
      <c r="S64" s="111"/>
      <c r="T64" s="111"/>
      <c r="U64" s="111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</row>
    <row r="65" spans="1:53" ht="14" thickBot="1" x14ac:dyDescent="0.2">
      <c r="A65" s="10" t="s">
        <v>123</v>
      </c>
      <c r="B65" s="15"/>
      <c r="C65" s="104"/>
      <c r="D65" s="104"/>
      <c r="E65" s="104"/>
      <c r="F65" s="127">
        <v>0</v>
      </c>
      <c r="G65" s="127">
        <f>-G8-(G38+G39)</f>
        <v>0</v>
      </c>
      <c r="H65" s="127">
        <f t="shared" ref="H65:BA65" si="34">-H8-(H38+H39)</f>
        <v>0</v>
      </c>
      <c r="I65" s="127">
        <f t="shared" si="34"/>
        <v>0</v>
      </c>
      <c r="J65" s="127">
        <f t="shared" si="34"/>
        <v>-250000</v>
      </c>
      <c r="K65" s="127">
        <f t="shared" si="34"/>
        <v>0</v>
      </c>
      <c r="L65" s="127">
        <f t="shared" si="34"/>
        <v>-2548028.6412500003</v>
      </c>
      <c r="M65" s="127">
        <f t="shared" si="34"/>
        <v>0</v>
      </c>
      <c r="N65" s="127">
        <f t="shared" si="34"/>
        <v>0</v>
      </c>
      <c r="O65" s="127">
        <f t="shared" si="34"/>
        <v>0</v>
      </c>
      <c r="P65" s="127">
        <f t="shared" si="34"/>
        <v>0</v>
      </c>
      <c r="Q65" s="127">
        <f t="shared" si="34"/>
        <v>0</v>
      </c>
      <c r="R65" s="127">
        <f t="shared" si="34"/>
        <v>0</v>
      </c>
      <c r="S65" s="127">
        <f t="shared" si="34"/>
        <v>0</v>
      </c>
      <c r="T65" s="127">
        <f t="shared" si="34"/>
        <v>0</v>
      </c>
      <c r="U65" s="127">
        <f t="shared" si="34"/>
        <v>0</v>
      </c>
      <c r="V65" s="127">
        <f t="shared" si="34"/>
        <v>0</v>
      </c>
      <c r="W65" s="127">
        <f t="shared" si="34"/>
        <v>0</v>
      </c>
      <c r="X65" s="127">
        <f t="shared" si="34"/>
        <v>0</v>
      </c>
      <c r="Y65" s="127">
        <f t="shared" si="34"/>
        <v>0</v>
      </c>
      <c r="Z65" s="127">
        <f t="shared" si="34"/>
        <v>0</v>
      </c>
      <c r="AA65" s="127">
        <f t="shared" si="34"/>
        <v>0</v>
      </c>
      <c r="AB65" s="127">
        <f t="shared" si="34"/>
        <v>0</v>
      </c>
      <c r="AC65" s="127">
        <f t="shared" si="34"/>
        <v>0</v>
      </c>
      <c r="AD65" s="127">
        <f t="shared" si="34"/>
        <v>0</v>
      </c>
      <c r="AE65" s="127">
        <f t="shared" si="34"/>
        <v>0</v>
      </c>
      <c r="AF65" s="127">
        <f t="shared" si="34"/>
        <v>0</v>
      </c>
      <c r="AG65" s="127">
        <f t="shared" si="34"/>
        <v>0</v>
      </c>
      <c r="AH65" s="127">
        <f t="shared" si="34"/>
        <v>0</v>
      </c>
      <c r="AI65" s="127">
        <f t="shared" si="34"/>
        <v>0</v>
      </c>
      <c r="AJ65" s="127">
        <f t="shared" si="34"/>
        <v>0</v>
      </c>
      <c r="AK65" s="127">
        <f t="shared" si="34"/>
        <v>0</v>
      </c>
      <c r="AL65" s="127">
        <f t="shared" si="34"/>
        <v>0</v>
      </c>
      <c r="AM65" s="127">
        <f t="shared" si="34"/>
        <v>0</v>
      </c>
      <c r="AN65" s="127">
        <f t="shared" si="34"/>
        <v>0</v>
      </c>
      <c r="AO65" s="127">
        <f t="shared" si="34"/>
        <v>0</v>
      </c>
      <c r="AP65" s="127">
        <f t="shared" si="34"/>
        <v>0</v>
      </c>
      <c r="AQ65" s="127">
        <f t="shared" si="34"/>
        <v>0</v>
      </c>
      <c r="AR65" s="127">
        <f t="shared" si="34"/>
        <v>0</v>
      </c>
      <c r="AS65" s="127">
        <f t="shared" si="34"/>
        <v>0</v>
      </c>
      <c r="AT65" s="127">
        <f t="shared" si="34"/>
        <v>0</v>
      </c>
      <c r="AU65" s="127">
        <f t="shared" si="34"/>
        <v>0</v>
      </c>
      <c r="AV65" s="127">
        <f t="shared" si="34"/>
        <v>0</v>
      </c>
      <c r="AW65" s="127">
        <f t="shared" si="34"/>
        <v>0</v>
      </c>
      <c r="AX65" s="127">
        <f t="shared" si="34"/>
        <v>0</v>
      </c>
      <c r="AY65" s="127">
        <f t="shared" si="34"/>
        <v>0</v>
      </c>
      <c r="AZ65" s="127">
        <f t="shared" si="34"/>
        <v>0</v>
      </c>
      <c r="BA65" s="127">
        <f t="shared" si="34"/>
        <v>4473195.6412500003</v>
      </c>
    </row>
    <row r="66" spans="1:53" ht="14" thickTop="1" x14ac:dyDescent="0.15">
      <c r="A66" s="10"/>
      <c r="B66" s="15"/>
      <c r="C66" s="16"/>
      <c r="D66" s="16"/>
      <c r="E66" s="16"/>
      <c r="F66" s="31"/>
      <c r="G66" s="61"/>
      <c r="H66" s="16"/>
      <c r="I66" s="16"/>
      <c r="J66" s="16"/>
      <c r="K66" s="16"/>
      <c r="L66" s="16"/>
      <c r="M66" s="31"/>
      <c r="N66" s="31"/>
      <c r="O66" s="31"/>
      <c r="P66" s="31"/>
      <c r="Q66" s="31"/>
      <c r="R66" s="31"/>
      <c r="S66" s="31"/>
      <c r="T66" s="31"/>
      <c r="U66" s="31"/>
    </row>
    <row r="67" spans="1:53" x14ac:dyDescent="0.15">
      <c r="A67" s="35"/>
      <c r="B67" s="15"/>
      <c r="C67" s="16"/>
      <c r="D67" s="16"/>
      <c r="E67" s="16"/>
      <c r="F67" s="62" t="s">
        <v>19</v>
      </c>
      <c r="G67" s="63">
        <f>IRR(J65:BA65,0.1)*12</f>
        <v>0.13750301393157116</v>
      </c>
      <c r="H67" s="73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1:53" x14ac:dyDescent="0.15">
      <c r="A68" s="35"/>
      <c r="B68" s="15"/>
      <c r="C68" s="16"/>
      <c r="D68" s="16"/>
      <c r="E68" s="16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1:53" x14ac:dyDescent="0.15">
      <c r="T69" s="88"/>
    </row>
    <row r="70" spans="1:53" x14ac:dyDescent="0.15">
      <c r="T70" s="88"/>
    </row>
    <row r="71" spans="1:53" x14ac:dyDescent="0.15">
      <c r="T71" s="88"/>
    </row>
  </sheetData>
  <phoneticPr fontId="23" type="noConversion"/>
  <pageMargins left="0.75" right="0.75" top="1" bottom="1" header="0.5" footer="0.5"/>
  <pageSetup scale="47" fitToWidth="2" orientation="landscape" r:id="rId1"/>
  <headerFooter alignWithMargins="0">
    <oddFooter>&amp;L&amp;F&amp;CPage &amp;P of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BA20"/>
  <sheetViews>
    <sheetView zoomScale="140" zoomScaleNormal="140" workbookViewId="0">
      <pane xSplit="4" ySplit="5" topLeftCell="AH6" activePane="bottomRight" state="frozen"/>
      <selection pane="topRight" activeCell="E1" sqref="E1"/>
      <selection pane="bottomLeft" activeCell="A6" sqref="A6"/>
      <selection pane="bottomRight" activeCell="AO13" sqref="AO13"/>
    </sheetView>
  </sheetViews>
  <sheetFormatPr baseColWidth="10" defaultColWidth="10.33203125" defaultRowHeight="13" x14ac:dyDescent="0.15"/>
  <cols>
    <col min="1" max="1" width="24.33203125" style="55" customWidth="1"/>
    <col min="2" max="2" width="1.5" style="55" customWidth="1"/>
    <col min="3" max="3" width="12" style="55" customWidth="1"/>
    <col min="4" max="4" width="1.5" style="55" customWidth="1"/>
    <col min="5" max="15" width="10.33203125" style="55" customWidth="1"/>
    <col min="16" max="16" width="11" style="55" bestFit="1" customWidth="1"/>
    <col min="17" max="17" width="10.33203125" style="55" customWidth="1"/>
    <col min="18" max="18" width="11" style="55" bestFit="1" customWidth="1"/>
    <col min="19" max="19" width="11.1640625" bestFit="1" customWidth="1"/>
    <col min="20" max="20" width="11" bestFit="1" customWidth="1"/>
    <col min="21" max="21" width="10.33203125" customWidth="1"/>
    <col min="22" max="22" width="11" bestFit="1" customWidth="1"/>
    <col min="23" max="24" width="10.33203125" customWidth="1"/>
    <col min="25" max="25" width="11.1640625" bestFit="1" customWidth="1"/>
  </cols>
  <sheetData>
    <row r="1" spans="1:53" x14ac:dyDescent="0.15">
      <c r="A1" s="53" t="s">
        <v>17</v>
      </c>
      <c r="B1" s="53"/>
      <c r="C1" s="54"/>
    </row>
    <row r="2" spans="1:53" x14ac:dyDescent="0.15">
      <c r="A2" s="70" t="str">
        <f>Assumptions!B5</f>
        <v>668 Sample: Kent Anderson DCF Model</v>
      </c>
      <c r="B2" s="71"/>
      <c r="C2" s="76"/>
    </row>
    <row r="3" spans="1:53" x14ac:dyDescent="0.15">
      <c r="A3" s="168" t="s">
        <v>67</v>
      </c>
      <c r="B3" s="71"/>
      <c r="C3" s="169">
        <f>Assumptions!C52</f>
        <v>0.95</v>
      </c>
    </row>
    <row r="4" spans="1:53" x14ac:dyDescent="0.15">
      <c r="A4" s="71"/>
      <c r="B4" s="71"/>
      <c r="C4" s="72"/>
      <c r="L4" s="172" t="s">
        <v>173</v>
      </c>
      <c r="S4" s="173" t="s">
        <v>174</v>
      </c>
      <c r="T4" s="173" t="s">
        <v>176</v>
      </c>
      <c r="AD4" s="173" t="s">
        <v>178</v>
      </c>
      <c r="AO4" s="134" t="s">
        <v>186</v>
      </c>
    </row>
    <row r="5" spans="1:53" x14ac:dyDescent="0.15">
      <c r="A5" s="92" t="s">
        <v>60</v>
      </c>
      <c r="B5" s="87"/>
      <c r="C5" s="75" t="s">
        <v>31</v>
      </c>
      <c r="D5" s="56"/>
      <c r="F5" s="77" t="str">
        <f>'Sales Proceeds'!F4</f>
        <v>Jan- Yr 1</v>
      </c>
      <c r="G5" s="77" t="str">
        <f>'Sales Proceeds'!G4</f>
        <v>Feb- Yr 1</v>
      </c>
      <c r="H5" s="77" t="str">
        <f>'Sales Proceeds'!H4</f>
        <v>Mar- Yr 1</v>
      </c>
      <c r="I5" s="77" t="str">
        <f>'Sales Proceeds'!I4</f>
        <v>Apr- Yr 1</v>
      </c>
      <c r="J5" s="77" t="str">
        <f>'Sales Proceeds'!J4</f>
        <v>May- Yr 1</v>
      </c>
      <c r="K5" s="77" t="str">
        <f>'Sales Proceeds'!K4</f>
        <v>Jun- Yr 1</v>
      </c>
      <c r="L5" s="77" t="str">
        <f>'Sales Proceeds'!L4</f>
        <v>Jul- Yr 1</v>
      </c>
      <c r="M5" s="77" t="str">
        <f>'Sales Proceeds'!M4</f>
        <v>Aug- Yr 1</v>
      </c>
      <c r="N5" s="77" t="str">
        <f>'Sales Proceeds'!N4</f>
        <v>Sep- Yr 1</v>
      </c>
      <c r="O5" s="77" t="str">
        <f>'Sales Proceeds'!O4</f>
        <v>Oct- Yr 1</v>
      </c>
      <c r="P5" s="77" t="str">
        <f>'Sales Proceeds'!P4</f>
        <v>Nov- Yr 1</v>
      </c>
      <c r="Q5" s="77" t="str">
        <f>'Sales Proceeds'!Q4</f>
        <v>Dec- Yr 1</v>
      </c>
      <c r="R5" s="77" t="str">
        <f>'Sales Proceeds'!R4</f>
        <v>Jan- Yr 2</v>
      </c>
      <c r="S5" s="77" t="str">
        <f>'Sales Proceeds'!S4</f>
        <v>Feb- Yr 2</v>
      </c>
      <c r="T5" s="77" t="str">
        <f>'Sales Proceeds'!T4</f>
        <v>Mar- Yr 2</v>
      </c>
      <c r="U5" s="77" t="str">
        <f>'Sales Proceeds'!U4</f>
        <v>Apr- Yr 2</v>
      </c>
      <c r="V5" s="77" t="str">
        <f>'Sales Proceeds'!V4</f>
        <v>May- Yr 2</v>
      </c>
      <c r="W5" s="77" t="str">
        <f>'Sales Proceeds'!W4</f>
        <v>Jun- Yr 2</v>
      </c>
      <c r="X5" s="77" t="str">
        <f>'Sales Proceeds'!X4</f>
        <v>Jul- Yr 2</v>
      </c>
      <c r="Y5" s="77" t="str">
        <f>'Sales Proceeds'!Y4</f>
        <v>Aug- Yr 2</v>
      </c>
      <c r="Z5" s="77" t="str">
        <f>'Sales Proceeds'!Z4</f>
        <v>Sep- Yr 2</v>
      </c>
      <c r="AA5" s="77" t="str">
        <f>'Sales Proceeds'!AA4</f>
        <v>Oct- Yr 2</v>
      </c>
      <c r="AB5" s="77" t="str">
        <f>'Sales Proceeds'!AB4</f>
        <v>Nov- Yr 2</v>
      </c>
      <c r="AC5" s="77" t="str">
        <f>'Sales Proceeds'!AC4</f>
        <v>Dec- Yr 2</v>
      </c>
      <c r="AD5" s="77" t="str">
        <f>'Sales Proceeds'!AD4</f>
        <v>Jan- Yr 3</v>
      </c>
      <c r="AE5" s="77" t="str">
        <f>'Sales Proceeds'!AE4</f>
        <v>Feb- Yr 3</v>
      </c>
      <c r="AF5" s="77" t="str">
        <f>'Sales Proceeds'!AF4</f>
        <v>Mar- Yr 3</v>
      </c>
      <c r="AG5" s="77" t="str">
        <f>'Sales Proceeds'!AG4</f>
        <v>Apr- yr 3</v>
      </c>
      <c r="AH5" s="77" t="str">
        <f>'Sales Proceeds'!AH4</f>
        <v>May- Yr 3</v>
      </c>
      <c r="AI5" s="77" t="str">
        <f>'Sales Proceeds'!AI4</f>
        <v>Jun- Yr 3</v>
      </c>
      <c r="AJ5" s="77" t="str">
        <f>'Sales Proceeds'!AJ4</f>
        <v>Jul- Yr 3</v>
      </c>
      <c r="AK5" s="77" t="str">
        <f>'Sales Proceeds'!AK4</f>
        <v>Aug- Yr 3</v>
      </c>
      <c r="AL5" s="77" t="str">
        <f>'Sales Proceeds'!AL4</f>
        <v>Sep- Yr 3</v>
      </c>
      <c r="AM5" s="77" t="str">
        <f>'Sales Proceeds'!AM4</f>
        <v>Oct- Yr 3</v>
      </c>
      <c r="AN5" s="77" t="str">
        <f>'Sales Proceeds'!AN4</f>
        <v>Nov- Yr 3</v>
      </c>
      <c r="AO5" s="77" t="str">
        <f>'Sales Proceeds'!AO4</f>
        <v>Dec- Yr 3</v>
      </c>
      <c r="AP5" s="77" t="str">
        <f>'Sales Proceeds'!AP4</f>
        <v>Jan- Yr 4</v>
      </c>
      <c r="AQ5" s="77" t="str">
        <f>'Sales Proceeds'!AQ4</f>
        <v>Feb- Yr 4</v>
      </c>
      <c r="AR5" s="77" t="str">
        <f>'Sales Proceeds'!AR4</f>
        <v>Mar- Yr 4</v>
      </c>
      <c r="AS5" s="77" t="str">
        <f>'Sales Proceeds'!AS4</f>
        <v>Apr- Yr 4</v>
      </c>
      <c r="AT5" s="77" t="str">
        <f>'Sales Proceeds'!AT4</f>
        <v>May- Yr 4</v>
      </c>
      <c r="AU5" s="77" t="str">
        <f>'Sales Proceeds'!AU4</f>
        <v>Jun- Yr 4</v>
      </c>
      <c r="AV5" s="77" t="str">
        <f>'Sales Proceeds'!AV4</f>
        <v>Jul- Yr 4</v>
      </c>
      <c r="AW5" s="134" t="s">
        <v>179</v>
      </c>
      <c r="AX5" s="134" t="s">
        <v>185</v>
      </c>
      <c r="AY5" s="134" t="s">
        <v>181</v>
      </c>
      <c r="AZ5" s="177" t="s">
        <v>182</v>
      </c>
      <c r="BA5" s="177" t="s">
        <v>183</v>
      </c>
    </row>
    <row r="6" spans="1:53" x14ac:dyDescent="0.15">
      <c r="A6" s="57" t="s">
        <v>54</v>
      </c>
      <c r="B6" s="57"/>
      <c r="F6" s="93">
        <v>0</v>
      </c>
      <c r="G6" s="93">
        <f>+F13</f>
        <v>0</v>
      </c>
      <c r="H6" s="93">
        <f t="shared" ref="H6:BA6" si="0">G13</f>
        <v>0</v>
      </c>
      <c r="I6" s="93">
        <f t="shared" si="0"/>
        <v>0</v>
      </c>
      <c r="J6" s="93">
        <f t="shared" si="0"/>
        <v>0</v>
      </c>
      <c r="K6" s="93">
        <f t="shared" si="0"/>
        <v>0</v>
      </c>
      <c r="L6" s="93">
        <f t="shared" si="0"/>
        <v>0</v>
      </c>
      <c r="M6" s="93">
        <f t="shared" si="0"/>
        <v>1149471.3587499997</v>
      </c>
      <c r="N6" s="93">
        <f t="shared" si="0"/>
        <v>2103278.1850615102</v>
      </c>
      <c r="O6" s="93">
        <f t="shared" si="0"/>
        <v>3063562.9494017195</v>
      </c>
      <c r="P6" s="93">
        <f t="shared" si="0"/>
        <v>4030369.6477664062</v>
      </c>
      <c r="Q6" s="93">
        <f t="shared" si="0"/>
        <v>5003742.5749574862</v>
      </c>
      <c r="R6" s="93">
        <f t="shared" si="0"/>
        <v>5983726.3266124055</v>
      </c>
      <c r="S6" s="93">
        <f t="shared" si="0"/>
        <v>7075365.8012473145</v>
      </c>
      <c r="T6" s="93">
        <f t="shared" si="0"/>
        <v>7124419.3273141189</v>
      </c>
      <c r="U6" s="93">
        <f t="shared" si="0"/>
        <v>6443006.0085787941</v>
      </c>
      <c r="V6" s="93">
        <f t="shared" si="0"/>
        <v>6487764.7577203913</v>
      </c>
      <c r="W6" s="93">
        <f t="shared" si="0"/>
        <v>6532827.4933665758</v>
      </c>
      <c r="X6" s="93">
        <f t="shared" si="0"/>
        <v>5584188.2800923567</v>
      </c>
      <c r="Y6" s="93">
        <f t="shared" si="0"/>
        <v>5623114.2254946502</v>
      </c>
      <c r="Z6" s="93">
        <f t="shared" si="0"/>
        <v>5662304.5429428015</v>
      </c>
      <c r="AA6" s="93">
        <f t="shared" si="0"/>
        <v>4688145.0279636215</v>
      </c>
      <c r="AB6" s="93">
        <f t="shared" si="0"/>
        <v>4720985.3462785408</v>
      </c>
      <c r="AC6" s="93">
        <f t="shared" si="0"/>
        <v>4754048.7050886825</v>
      </c>
      <c r="AD6" s="93">
        <f t="shared" si="0"/>
        <v>3754112.6192107433</v>
      </c>
      <c r="AE6" s="93">
        <f t="shared" si="0"/>
        <v>4042173.5143408873</v>
      </c>
      <c r="AF6" s="93">
        <f t="shared" si="0"/>
        <v>4072310.8484234279</v>
      </c>
      <c r="AG6" s="93">
        <f t="shared" si="0"/>
        <v>3049833.4224558133</v>
      </c>
      <c r="AH6" s="93">
        <f t="shared" si="0"/>
        <v>3072817.6383760157</v>
      </c>
      <c r="AI6" s="93">
        <f t="shared" si="0"/>
        <v>3095967.5321859759</v>
      </c>
      <c r="AJ6" s="93">
        <f t="shared" si="0"/>
        <v>2046844.2981471498</v>
      </c>
      <c r="AK6" s="93">
        <f t="shared" si="0"/>
        <v>2062598.6341296271</v>
      </c>
      <c r="AL6" s="93">
        <f t="shared" si="0"/>
        <v>2078466.5326173115</v>
      </c>
      <c r="AM6" s="93">
        <f t="shared" si="0"/>
        <v>1002400.8122065947</v>
      </c>
      <c r="AN6" s="93">
        <f t="shared" si="0"/>
        <v>1010626.4513945839</v>
      </c>
      <c r="AO6" s="93">
        <f t="shared" si="0"/>
        <v>1018911.3837317199</v>
      </c>
      <c r="AP6" s="93">
        <f t="shared" si="0"/>
        <v>3.6622786079533398E-2</v>
      </c>
      <c r="AQ6" s="93">
        <f t="shared" si="0"/>
        <v>0</v>
      </c>
      <c r="AR6" s="93">
        <f t="shared" si="0"/>
        <v>0</v>
      </c>
      <c r="AS6" s="93">
        <f t="shared" si="0"/>
        <v>0</v>
      </c>
      <c r="AT6" s="93">
        <f t="shared" si="0"/>
        <v>0</v>
      </c>
      <c r="AU6" s="93">
        <f t="shared" si="0"/>
        <v>0</v>
      </c>
      <c r="AV6" s="93">
        <f t="shared" si="0"/>
        <v>0</v>
      </c>
      <c r="AW6" s="93">
        <f t="shared" si="0"/>
        <v>0</v>
      </c>
      <c r="AX6" s="93">
        <f t="shared" si="0"/>
        <v>0</v>
      </c>
      <c r="AY6" s="93">
        <f t="shared" si="0"/>
        <v>0</v>
      </c>
      <c r="AZ6" s="93">
        <f t="shared" si="0"/>
        <v>0</v>
      </c>
      <c r="BA6" s="93">
        <f t="shared" si="0"/>
        <v>0</v>
      </c>
    </row>
    <row r="7" spans="1:53" x14ac:dyDescent="0.15">
      <c r="A7" s="166" t="s">
        <v>30</v>
      </c>
      <c r="B7" s="58"/>
      <c r="C7" s="93">
        <f>SUM(F7:AU7)</f>
        <v>981971.35874999966</v>
      </c>
      <c r="D7" s="141" t="s">
        <v>21</v>
      </c>
      <c r="F7" s="94">
        <v>0</v>
      </c>
      <c r="G7" s="94">
        <v>0</v>
      </c>
      <c r="H7" s="94">
        <v>0</v>
      </c>
      <c r="I7" s="94">
        <v>0</v>
      </c>
      <c r="J7" s="94">
        <v>0</v>
      </c>
      <c r="K7" s="94">
        <v>0</v>
      </c>
      <c r="L7" s="94">
        <f>Assumptions!G32-Assumptions!K13</f>
        <v>981971.35874999966</v>
      </c>
      <c r="M7" s="94">
        <v>0</v>
      </c>
      <c r="N7" s="94">
        <v>0</v>
      </c>
      <c r="O7" s="94">
        <v>0</v>
      </c>
      <c r="P7" s="94">
        <v>0</v>
      </c>
      <c r="Q7" s="94">
        <v>0</v>
      </c>
      <c r="R7" s="94">
        <v>0</v>
      </c>
      <c r="S7" s="94">
        <v>0</v>
      </c>
      <c r="T7" s="94">
        <v>0</v>
      </c>
      <c r="U7" s="94">
        <v>0</v>
      </c>
      <c r="V7" s="94">
        <v>0</v>
      </c>
      <c r="W7" s="94">
        <v>0</v>
      </c>
      <c r="X7" s="94">
        <v>0</v>
      </c>
      <c r="Y7" s="94">
        <v>0</v>
      </c>
      <c r="Z7" s="94">
        <v>0</v>
      </c>
      <c r="AA7" s="94">
        <v>0</v>
      </c>
      <c r="AB7" s="94">
        <v>0</v>
      </c>
      <c r="AC7" s="94">
        <v>0</v>
      </c>
      <c r="AD7" s="94">
        <v>0</v>
      </c>
      <c r="AE7" s="94">
        <v>0</v>
      </c>
      <c r="AF7" s="94">
        <v>0</v>
      </c>
      <c r="AG7" s="94">
        <v>0</v>
      </c>
      <c r="AH7" s="94">
        <v>0</v>
      </c>
      <c r="AI7" s="94">
        <v>0</v>
      </c>
      <c r="AJ7" s="94">
        <v>0</v>
      </c>
      <c r="AK7" s="94">
        <v>0</v>
      </c>
      <c r="AL7" s="94">
        <v>0</v>
      </c>
      <c r="AM7" s="94">
        <v>0</v>
      </c>
      <c r="AN7" s="94">
        <v>0</v>
      </c>
      <c r="AO7" s="94">
        <v>0</v>
      </c>
      <c r="AP7" s="94">
        <v>0</v>
      </c>
      <c r="AQ7" s="94">
        <v>0</v>
      </c>
      <c r="AR7" s="94">
        <v>0</v>
      </c>
      <c r="AS7" s="94">
        <v>0</v>
      </c>
      <c r="AT7" s="94">
        <v>0</v>
      </c>
      <c r="AU7" s="94">
        <v>0</v>
      </c>
      <c r="AV7" s="94">
        <v>0</v>
      </c>
    </row>
    <row r="8" spans="1:53" x14ac:dyDescent="0.15">
      <c r="A8" s="166" t="s">
        <v>39</v>
      </c>
      <c r="B8" s="58"/>
      <c r="C8" s="93">
        <f>SUM(F8:BA8)</f>
        <v>4657500</v>
      </c>
      <c r="D8" s="141" t="s">
        <v>21</v>
      </c>
      <c r="F8" s="94">
        <f>-'Cash Flow'!F23</f>
        <v>0</v>
      </c>
      <c r="G8" s="94">
        <f>-'Cash Flow'!G23</f>
        <v>0</v>
      </c>
      <c r="H8" s="94">
        <f>-'Cash Flow'!H23</f>
        <v>0</v>
      </c>
      <c r="I8" s="94">
        <f>-'Cash Flow'!I23</f>
        <v>0</v>
      </c>
      <c r="J8" s="94">
        <f>-'Cash Flow'!J23</f>
        <v>0</v>
      </c>
      <c r="K8" s="94">
        <f>-'Cash Flow'!K23</f>
        <v>0</v>
      </c>
      <c r="L8" s="94">
        <f>-'Cash Flow'!L23</f>
        <v>0</v>
      </c>
      <c r="M8" s="94">
        <f>-'Cash Flow'!M23</f>
        <v>776250</v>
      </c>
      <c r="N8" s="94">
        <f>-'Cash Flow'!N23</f>
        <v>776250</v>
      </c>
      <c r="O8" s="94">
        <f>-'Cash Flow'!O23</f>
        <v>776250</v>
      </c>
      <c r="P8" s="94">
        <f>-'Cash Flow'!P23</f>
        <v>776250</v>
      </c>
      <c r="Q8" s="94">
        <f>-'Cash Flow'!Q23</f>
        <v>776250</v>
      </c>
      <c r="R8" s="94">
        <f>-'Cash Flow'!R23</f>
        <v>776250</v>
      </c>
      <c r="S8" s="94">
        <f>-'Cash Flow'!S23</f>
        <v>0</v>
      </c>
      <c r="T8" s="94">
        <f>-'Cash Flow'!T23</f>
        <v>0</v>
      </c>
      <c r="U8" s="94">
        <f>-'Cash Flow'!U23</f>
        <v>0</v>
      </c>
      <c r="V8" s="94">
        <f>-'Cash Flow'!V23</f>
        <v>0</v>
      </c>
      <c r="W8" s="94">
        <f>-'Cash Flow'!W23</f>
        <v>0</v>
      </c>
      <c r="X8" s="94">
        <f>-'Cash Flow'!X23</f>
        <v>0</v>
      </c>
      <c r="Y8" s="94">
        <f>-'Cash Flow'!Y23</f>
        <v>0</v>
      </c>
      <c r="Z8" s="94">
        <f>-'Cash Flow'!Z23</f>
        <v>0</v>
      </c>
      <c r="AA8" s="94">
        <f>-'Cash Flow'!AA23</f>
        <v>0</v>
      </c>
      <c r="AB8" s="94">
        <f>-'Cash Flow'!AB23</f>
        <v>0</v>
      </c>
      <c r="AC8" s="94">
        <f>-'Cash Flow'!AC23</f>
        <v>0</v>
      </c>
      <c r="AD8" s="94">
        <f>-'Cash Flow'!AD23</f>
        <v>0</v>
      </c>
      <c r="AE8" s="94">
        <f>-'Cash Flow'!AE23</f>
        <v>0</v>
      </c>
      <c r="AF8" s="94">
        <f>-'Cash Flow'!AF23</f>
        <v>0</v>
      </c>
      <c r="AG8" s="94">
        <f>-'Cash Flow'!AG23</f>
        <v>0</v>
      </c>
      <c r="AH8" s="94">
        <f>-'Cash Flow'!AH23</f>
        <v>0</v>
      </c>
      <c r="AI8" s="94">
        <f>-'Cash Flow'!AI23</f>
        <v>0</v>
      </c>
      <c r="AJ8" s="94">
        <f>-'Cash Flow'!AJ23</f>
        <v>0</v>
      </c>
      <c r="AK8" s="94">
        <f>-'Cash Flow'!AK23</f>
        <v>0</v>
      </c>
      <c r="AL8" s="94">
        <f>-'Cash Flow'!AL23</f>
        <v>0</v>
      </c>
      <c r="AM8" s="94">
        <f>-'Cash Flow'!AM23</f>
        <v>0</v>
      </c>
      <c r="AN8" s="94">
        <f>-'Cash Flow'!AN23</f>
        <v>0</v>
      </c>
      <c r="AO8" s="94">
        <f>-'Cash Flow'!AO23</f>
        <v>0</v>
      </c>
      <c r="AP8" s="94">
        <f>-'Cash Flow'!AP23</f>
        <v>0</v>
      </c>
      <c r="AQ8" s="94">
        <f>-'Cash Flow'!AQ23</f>
        <v>0</v>
      </c>
      <c r="AR8" s="94">
        <f>-'Cash Flow'!AR23</f>
        <v>0</v>
      </c>
      <c r="AS8" s="94">
        <f>-'Cash Flow'!AS23</f>
        <v>0</v>
      </c>
      <c r="AT8" s="94">
        <f>-'Cash Flow'!AT23</f>
        <v>0</v>
      </c>
      <c r="AU8" s="94">
        <f>-'Cash Flow'!AU23</f>
        <v>0</v>
      </c>
      <c r="AV8" s="94">
        <f>-'Cash Flow'!AV23</f>
        <v>0</v>
      </c>
      <c r="AW8" s="94">
        <f>-'Cash Flow'!AW23</f>
        <v>0</v>
      </c>
      <c r="AX8" s="94">
        <f>-'Cash Flow'!AX23</f>
        <v>0</v>
      </c>
      <c r="AY8" s="94">
        <f>-'Cash Flow'!AY23</f>
        <v>0</v>
      </c>
      <c r="AZ8" s="94">
        <f>-'Cash Flow'!AZ23</f>
        <v>0</v>
      </c>
      <c r="BA8" s="94">
        <f>-'Cash Flow'!BA23</f>
        <v>0</v>
      </c>
    </row>
    <row r="9" spans="1:53" x14ac:dyDescent="0.15">
      <c r="A9" s="166" t="s">
        <v>33</v>
      </c>
      <c r="B9" s="58"/>
      <c r="C9" s="93">
        <f t="shared" ref="C9:C13" si="1">SUM(F9:BA9)</f>
        <v>1620500</v>
      </c>
      <c r="D9" s="141" t="s">
        <v>21</v>
      </c>
      <c r="F9" s="94">
        <f>-'Cash Flow'!F36</f>
        <v>0</v>
      </c>
      <c r="G9" s="94">
        <f>-'Cash Flow'!G36</f>
        <v>0</v>
      </c>
      <c r="H9" s="94">
        <f>-'Cash Flow'!H36</f>
        <v>0</v>
      </c>
      <c r="I9" s="94">
        <f>-'Cash Flow'!I36</f>
        <v>0</v>
      </c>
      <c r="J9" s="94">
        <f>-'Cash Flow'!J36</f>
        <v>0</v>
      </c>
      <c r="K9" s="94">
        <f>-'Cash Flow'!K36</f>
        <v>0</v>
      </c>
      <c r="L9" s="94">
        <f>-'Cash Flow'!L36</f>
        <v>167500</v>
      </c>
      <c r="M9" s="94">
        <f>-'Cash Flow'!M36</f>
        <v>169750</v>
      </c>
      <c r="N9" s="94">
        <f>-'Cash Flow'!N36</f>
        <v>169750</v>
      </c>
      <c r="O9" s="94">
        <f>-'Cash Flow'!O36</f>
        <v>169750</v>
      </c>
      <c r="P9" s="94">
        <f>-'Cash Flow'!P36</f>
        <v>169750</v>
      </c>
      <c r="Q9" s="94">
        <f>-'Cash Flow'!Q36</f>
        <v>169750</v>
      </c>
      <c r="R9" s="94">
        <f>-'Cash Flow'!R36</f>
        <v>274750</v>
      </c>
      <c r="S9" s="94">
        <f>-'Cash Flow'!S36</f>
        <v>1000</v>
      </c>
      <c r="T9" s="94">
        <f>-'Cash Flow'!T36</f>
        <v>5500</v>
      </c>
      <c r="U9" s="94">
        <f>-'Cash Flow'!U36</f>
        <v>1000</v>
      </c>
      <c r="V9" s="94">
        <f>-'Cash Flow'!V36</f>
        <v>1000</v>
      </c>
      <c r="W9" s="94">
        <f>-'Cash Flow'!W36</f>
        <v>7000</v>
      </c>
      <c r="X9" s="94">
        <f>-'Cash Flow'!X36</f>
        <v>1000</v>
      </c>
      <c r="Y9" s="94">
        <f>-'Cash Flow'!Y36</f>
        <v>1000</v>
      </c>
      <c r="Z9" s="94">
        <f>-'Cash Flow'!Z36</f>
        <v>7000</v>
      </c>
      <c r="AA9" s="94">
        <f>-'Cash Flow'!AA36</f>
        <v>1000</v>
      </c>
      <c r="AB9" s="94">
        <f>-'Cash Flow'!AB36</f>
        <v>1000</v>
      </c>
      <c r="AC9" s="94">
        <f>-'Cash Flow'!AC36</f>
        <v>7000</v>
      </c>
      <c r="AD9" s="94">
        <f>-'Cash Flow'!AD36</f>
        <v>261000</v>
      </c>
      <c r="AE9" s="94">
        <f>-'Cash Flow'!AE36</f>
        <v>1000</v>
      </c>
      <c r="AF9" s="94">
        <f>-'Cash Flow'!AF36</f>
        <v>7000</v>
      </c>
      <c r="AG9" s="94">
        <f>-'Cash Flow'!AG36</f>
        <v>1000</v>
      </c>
      <c r="AH9" s="94">
        <f>-'Cash Flow'!AH36</f>
        <v>1000</v>
      </c>
      <c r="AI9" s="94">
        <f>-'Cash Flow'!AI36</f>
        <v>7000</v>
      </c>
      <c r="AJ9" s="94">
        <f>-'Cash Flow'!AJ36</f>
        <v>1000</v>
      </c>
      <c r="AK9" s="94">
        <f>-'Cash Flow'!AK36</f>
        <v>1000</v>
      </c>
      <c r="AL9" s="94">
        <f>-'Cash Flow'!AL36</f>
        <v>7000</v>
      </c>
      <c r="AM9" s="94">
        <f>-'Cash Flow'!AM36</f>
        <v>1000</v>
      </c>
      <c r="AN9" s="94">
        <f>-'Cash Flow'!AN36</f>
        <v>1000</v>
      </c>
      <c r="AO9" s="94">
        <f>-'Cash Flow'!AO36</f>
        <v>7000</v>
      </c>
      <c r="AP9" s="94">
        <v>0</v>
      </c>
      <c r="AQ9" s="94">
        <v>0</v>
      </c>
      <c r="AR9" s="94">
        <v>0</v>
      </c>
      <c r="AS9" s="94"/>
      <c r="AT9" s="94"/>
      <c r="AU9" s="94"/>
      <c r="AV9" s="94"/>
      <c r="AW9" s="94"/>
      <c r="AX9" s="94"/>
      <c r="AY9" s="94"/>
      <c r="AZ9" s="94"/>
      <c r="BA9" s="94"/>
    </row>
    <row r="10" spans="1:53" x14ac:dyDescent="0.15">
      <c r="A10" s="166" t="s">
        <v>32</v>
      </c>
      <c r="B10" s="58"/>
      <c r="C10" s="93">
        <f t="shared" si="1"/>
        <v>802752.67787278886</v>
      </c>
      <c r="D10" s="141" t="s">
        <v>21</v>
      </c>
      <c r="F10" s="94">
        <f>-'Cash Flow'!F44</f>
        <v>0</v>
      </c>
      <c r="G10" s="94">
        <f>-'Cash Flow'!G44</f>
        <v>0</v>
      </c>
      <c r="H10" s="94">
        <f>-'Cash Flow'!H44</f>
        <v>0</v>
      </c>
      <c r="I10" s="94">
        <f>-'Cash Flow'!I44</f>
        <v>0</v>
      </c>
      <c r="J10" s="94">
        <f>-'Cash Flow'!J44</f>
        <v>0</v>
      </c>
      <c r="K10" s="94">
        <f>-'Cash Flow'!K44</f>
        <v>0</v>
      </c>
      <c r="L10" s="94">
        <f>-'Cash Flow'!L44</f>
        <v>0</v>
      </c>
      <c r="M10" s="94">
        <f>-'Cash Flow'!M44</f>
        <v>7806.8263115104155</v>
      </c>
      <c r="N10" s="94">
        <f>-'Cash Flow'!N44</f>
        <v>14284.764340209424</v>
      </c>
      <c r="O10" s="94">
        <f>-'Cash Flow'!O44</f>
        <v>20806.698364686679</v>
      </c>
      <c r="P10" s="94">
        <f>-'Cash Flow'!P44</f>
        <v>27372.927191080176</v>
      </c>
      <c r="Q10" s="94">
        <f>-'Cash Flow'!Q44</f>
        <v>33983.751654919593</v>
      </c>
      <c r="R10" s="94">
        <f>-'Cash Flow'!R44</f>
        <v>40639.474634909253</v>
      </c>
      <c r="S10" s="94">
        <f>-'Cash Flow'!S44</f>
        <v>48053.526066804683</v>
      </c>
      <c r="T10" s="94">
        <f>-'Cash Flow'!T44</f>
        <v>48386.681264675055</v>
      </c>
      <c r="U10" s="94">
        <f>-'Cash Flow'!U44</f>
        <v>43758.749141597647</v>
      </c>
      <c r="V10" s="94">
        <f>-'Cash Flow'!V44</f>
        <v>44062.73564618433</v>
      </c>
      <c r="W10" s="94">
        <f>-'Cash Flow'!W44</f>
        <v>44368.786725781327</v>
      </c>
      <c r="X10" s="94">
        <f>-'Cash Flow'!X44</f>
        <v>37925.945402293924</v>
      </c>
      <c r="Y10" s="94">
        <f>-'Cash Flow'!Y44</f>
        <v>38190.317448151167</v>
      </c>
      <c r="Z10" s="94">
        <f>-'Cash Flow'!Z44</f>
        <v>38456.485020819862</v>
      </c>
      <c r="AA10" s="94">
        <f>-'Cash Flow'!AA44</f>
        <v>31840.318314919597</v>
      </c>
      <c r="AB10" s="94">
        <f>-'Cash Flow'!AB44</f>
        <v>32063.358810141755</v>
      </c>
      <c r="AC10" s="94">
        <f>-'Cash Flow'!AC44</f>
        <v>32287.914122060636</v>
      </c>
      <c r="AD10" s="94">
        <f>-'Cash Flow'!AD44</f>
        <v>27060.895130144112</v>
      </c>
      <c r="AE10" s="94">
        <f>-'Cash Flow'!AE44</f>
        <v>29137.334082540565</v>
      </c>
      <c r="AF10" s="94">
        <f>-'Cash Flow'!AF44</f>
        <v>29354.574032385546</v>
      </c>
      <c r="AG10" s="94">
        <f>-'Cash Flow'!AG44</f>
        <v>21984.215920202321</v>
      </c>
      <c r="AH10" s="94">
        <f>-'Cash Flow'!AH44</f>
        <v>22149.893809960446</v>
      </c>
      <c r="AI10" s="94">
        <f>-'Cash Flow'!AI44</f>
        <v>22316.765961173911</v>
      </c>
      <c r="AJ10" s="94">
        <f>-'Cash Flow'!AJ44</f>
        <v>14754.335982477372</v>
      </c>
      <c r="AK10" s="94">
        <f>-'Cash Flow'!AK44</f>
        <v>14867.898487684397</v>
      </c>
      <c r="AL10" s="94">
        <f>-'Cash Flow'!AL44</f>
        <v>14982.279589283122</v>
      </c>
      <c r="AM10" s="94">
        <f>-'Cash Flow'!AM44</f>
        <v>7225.6391879892044</v>
      </c>
      <c r="AN10" s="94">
        <f>-'Cash Flow'!AN44</f>
        <v>7284.9323371359596</v>
      </c>
      <c r="AO10" s="94">
        <f>-'Cash Flow'!AO44</f>
        <v>7344.6528910661482</v>
      </c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</row>
    <row r="11" spans="1:53" x14ac:dyDescent="0.15">
      <c r="A11" s="166" t="s">
        <v>118</v>
      </c>
      <c r="B11" s="58"/>
      <c r="C11" s="93">
        <f t="shared" si="1"/>
        <v>-8147124</v>
      </c>
      <c r="D11" s="141" t="s">
        <v>18</v>
      </c>
      <c r="F11" s="94">
        <f>-'Sales Proceeds'!F12*$C3</f>
        <v>0</v>
      </c>
      <c r="G11" s="94">
        <f>-'Sales Proceeds'!G12*$C3</f>
        <v>0</v>
      </c>
      <c r="H11" s="94">
        <f>-'Sales Proceeds'!H12*$C3</f>
        <v>0</v>
      </c>
      <c r="I11" s="94">
        <f>-'Sales Proceeds'!I12*$C3</f>
        <v>0</v>
      </c>
      <c r="J11" s="94">
        <f>-'Sales Proceeds'!J12*$C3</f>
        <v>0</v>
      </c>
      <c r="K11" s="94">
        <f>-'Sales Proceeds'!K12*$C3</f>
        <v>0</v>
      </c>
      <c r="L11" s="94">
        <f>-'Sales Proceeds'!L12*$C3</f>
        <v>0</v>
      </c>
      <c r="M11" s="94">
        <f>-'Sales Proceeds'!M12*$C3</f>
        <v>0</v>
      </c>
      <c r="N11" s="94">
        <f>-'Sales Proceeds'!N12*$C3</f>
        <v>0</v>
      </c>
      <c r="O11" s="94">
        <f>-'Sales Proceeds'!O12*$C3</f>
        <v>0</v>
      </c>
      <c r="P11" s="94">
        <f>-'Sales Proceeds'!P12*$C3</f>
        <v>0</v>
      </c>
      <c r="Q11" s="94">
        <f>-'Sales Proceeds'!Q12*$C3</f>
        <v>0</v>
      </c>
      <c r="R11" s="94">
        <f>-'Sales Proceeds'!R12*$C3</f>
        <v>0</v>
      </c>
      <c r="S11" s="94">
        <f>-'Sales Proceeds'!S12*$C3</f>
        <v>0</v>
      </c>
      <c r="T11" s="94">
        <f>-'Sales Proceeds'!T12*$C3</f>
        <v>-735300</v>
      </c>
      <c r="U11" s="94">
        <f>-'Sales Proceeds'!U12*$C3</f>
        <v>0</v>
      </c>
      <c r="V11" s="94">
        <f>-'Sales Proceeds'!V12*$C3</f>
        <v>0</v>
      </c>
      <c r="W11" s="94">
        <f>-'Sales Proceeds'!W12*$C3</f>
        <v>-1000008</v>
      </c>
      <c r="X11" s="94">
        <f>-'Sales Proceeds'!X12*$C3</f>
        <v>0</v>
      </c>
      <c r="Y11" s="94">
        <f>-'Sales Proceeds'!Y12*$C3</f>
        <v>0</v>
      </c>
      <c r="Z11" s="94">
        <f>-'Sales Proceeds'!Z12*$C3</f>
        <v>-1019616</v>
      </c>
      <c r="AA11" s="94">
        <f>-'Sales Proceeds'!AA12*$C3</f>
        <v>0</v>
      </c>
      <c r="AB11" s="94">
        <f>-'Sales Proceeds'!AB12*$C3</f>
        <v>0</v>
      </c>
      <c r="AC11" s="94">
        <f>-'Sales Proceeds'!AC12*$C3</f>
        <v>-1039224</v>
      </c>
      <c r="AD11" s="94">
        <f>-'Sales Proceeds'!AD12*$C3</f>
        <v>0</v>
      </c>
      <c r="AE11" s="94">
        <f>-'Sales Proceeds'!AE12*$C3</f>
        <v>0</v>
      </c>
      <c r="AF11" s="94">
        <f>-'Sales Proceeds'!AF12*$C3</f>
        <v>-1058832</v>
      </c>
      <c r="AG11" s="94">
        <f>-'Sales Proceeds'!AG12*$C3</f>
        <v>0</v>
      </c>
      <c r="AH11" s="94">
        <f>-'Sales Proceeds'!AH12*$C3</f>
        <v>0</v>
      </c>
      <c r="AI11" s="94">
        <f>-'Sales Proceeds'!AI12*$C3</f>
        <v>-1078440</v>
      </c>
      <c r="AJ11" s="94">
        <f>-'Sales Proceeds'!AJ12*$C3</f>
        <v>0</v>
      </c>
      <c r="AK11" s="94">
        <f>-'Sales Proceeds'!AK12*$C3</f>
        <v>0</v>
      </c>
      <c r="AL11" s="94">
        <f>-'Sales Proceeds'!AL12*$C3</f>
        <v>-1098048</v>
      </c>
      <c r="AM11" s="94">
        <f>-'Sales Proceeds'!AM12*$C3</f>
        <v>0</v>
      </c>
      <c r="AN11" s="94">
        <f>-'Sales Proceeds'!AN12*$C3</f>
        <v>0</v>
      </c>
      <c r="AO11" s="94">
        <f>-'Sales Proceeds'!AO12*$C3</f>
        <v>-1117656</v>
      </c>
      <c r="AP11" s="94">
        <f>-'Sales Proceeds'!AP12*$C3</f>
        <v>0</v>
      </c>
      <c r="AQ11" s="94">
        <f>-'Sales Proceeds'!AQ12*$C3</f>
        <v>0</v>
      </c>
      <c r="AR11" s="94">
        <v>0</v>
      </c>
      <c r="AS11" s="94">
        <f>-'Sales Proceeds'!AS12*$C3</f>
        <v>0</v>
      </c>
      <c r="AT11" s="94">
        <f>-'Sales Proceeds'!AT12*$C3</f>
        <v>0</v>
      </c>
      <c r="AU11" s="94"/>
      <c r="AV11" s="94">
        <f>-'Sales Proceeds'!AV12*$C3</f>
        <v>0</v>
      </c>
      <c r="AW11" s="94">
        <f>-'Sales Proceeds'!AW12*$C3</f>
        <v>0</v>
      </c>
      <c r="AX11" s="94"/>
      <c r="AY11" s="94">
        <f>-'Sales Proceeds'!AY12*$C3</f>
        <v>0</v>
      </c>
      <c r="AZ11" s="94">
        <f>-'Sales Proceeds'!AZ12*$C3</f>
        <v>0</v>
      </c>
      <c r="BA11" s="94"/>
    </row>
    <row r="12" spans="1:53" x14ac:dyDescent="0.15">
      <c r="A12" s="166" t="s">
        <v>42</v>
      </c>
      <c r="B12" s="58"/>
      <c r="C12" s="93">
        <f t="shared" si="1"/>
        <v>84400</v>
      </c>
      <c r="D12" s="141" t="s">
        <v>21</v>
      </c>
      <c r="F12" s="94">
        <v>0</v>
      </c>
      <c r="G12" s="94">
        <v>0</v>
      </c>
      <c r="H12" s="94">
        <v>0</v>
      </c>
      <c r="I12" s="94">
        <v>0</v>
      </c>
      <c r="J12" s="94">
        <v>0</v>
      </c>
      <c r="K12" s="94">
        <v>0</v>
      </c>
      <c r="L12" s="94">
        <v>0</v>
      </c>
      <c r="M12" s="94">
        <v>0</v>
      </c>
      <c r="N12" s="94">
        <v>0</v>
      </c>
      <c r="O12" s="94">
        <v>0</v>
      </c>
      <c r="P12" s="94">
        <v>0</v>
      </c>
      <c r="Q12" s="94">
        <v>0</v>
      </c>
      <c r="R12" s="94">
        <v>0</v>
      </c>
      <c r="S12" s="94">
        <v>0</v>
      </c>
      <c r="T12" s="94">
        <v>0</v>
      </c>
      <c r="U12" s="94">
        <v>0</v>
      </c>
      <c r="V12" s="94">
        <v>0</v>
      </c>
      <c r="W12" s="94">
        <v>0</v>
      </c>
      <c r="X12" s="94">
        <v>0</v>
      </c>
      <c r="Y12" s="94">
        <v>0</v>
      </c>
      <c r="Z12" s="94">
        <v>0</v>
      </c>
      <c r="AA12" s="94">
        <v>0</v>
      </c>
      <c r="AB12" s="94">
        <v>0</v>
      </c>
      <c r="AC12" s="94">
        <v>0</v>
      </c>
      <c r="AD12" s="94">
        <v>0</v>
      </c>
      <c r="AE12" s="94">
        <v>0</v>
      </c>
      <c r="AF12" s="94">
        <v>0</v>
      </c>
      <c r="AG12" s="94">
        <v>0</v>
      </c>
      <c r="AH12" s="94">
        <v>0</v>
      </c>
      <c r="AI12" s="94">
        <v>0</v>
      </c>
      <c r="AJ12" s="94">
        <v>0</v>
      </c>
      <c r="AK12" s="94">
        <v>0</v>
      </c>
      <c r="AL12" s="94">
        <v>0</v>
      </c>
      <c r="AM12" s="94">
        <v>0</v>
      </c>
      <c r="AN12" s="94">
        <v>0</v>
      </c>
      <c r="AO12" s="94">
        <v>84400</v>
      </c>
      <c r="AP12" s="94">
        <v>0</v>
      </c>
      <c r="AQ12" s="94">
        <v>0</v>
      </c>
      <c r="AR12" s="94">
        <v>0</v>
      </c>
      <c r="AS12" s="94">
        <v>0</v>
      </c>
      <c r="AT12" s="94">
        <v>0</v>
      </c>
      <c r="AU12" s="94">
        <v>0</v>
      </c>
      <c r="AV12" s="94">
        <v>0</v>
      </c>
    </row>
    <row r="13" spans="1:53" x14ac:dyDescent="0.15">
      <c r="A13" s="167" t="s">
        <v>117</v>
      </c>
      <c r="B13" s="59"/>
      <c r="C13" s="93">
        <f t="shared" si="1"/>
        <v>116337384.28248005</v>
      </c>
      <c r="F13" s="95">
        <f>SUM(F6:F12)</f>
        <v>0</v>
      </c>
      <c r="G13" s="95">
        <f t="shared" ref="G13:AM13" si="2">SUM(G6:G12)</f>
        <v>0</v>
      </c>
      <c r="H13" s="95">
        <f>SUM(H6:H12)</f>
        <v>0</v>
      </c>
      <c r="I13" s="95">
        <f t="shared" si="2"/>
        <v>0</v>
      </c>
      <c r="J13" s="95">
        <f t="shared" si="2"/>
        <v>0</v>
      </c>
      <c r="K13" s="95">
        <f t="shared" si="2"/>
        <v>0</v>
      </c>
      <c r="L13" s="95">
        <f>SUM(L6:L12)</f>
        <v>1149471.3587499997</v>
      </c>
      <c r="M13" s="95">
        <f t="shared" si="2"/>
        <v>2103278.1850615102</v>
      </c>
      <c r="N13" s="95">
        <f t="shared" si="2"/>
        <v>3063562.9494017195</v>
      </c>
      <c r="O13" s="95">
        <f t="shared" si="2"/>
        <v>4030369.6477664062</v>
      </c>
      <c r="P13" s="95">
        <f t="shared" si="2"/>
        <v>5003742.5749574862</v>
      </c>
      <c r="Q13" s="95">
        <f t="shared" si="2"/>
        <v>5983726.3266124055</v>
      </c>
      <c r="R13" s="95">
        <f t="shared" si="2"/>
        <v>7075365.8012473145</v>
      </c>
      <c r="S13" s="95">
        <f t="shared" si="2"/>
        <v>7124419.3273141189</v>
      </c>
      <c r="T13" s="95">
        <f t="shared" si="2"/>
        <v>6443006.0085787941</v>
      </c>
      <c r="U13" s="95">
        <f t="shared" si="2"/>
        <v>6487764.7577203913</v>
      </c>
      <c r="V13" s="95">
        <f t="shared" si="2"/>
        <v>6532827.4933665758</v>
      </c>
      <c r="W13" s="95">
        <f t="shared" si="2"/>
        <v>5584188.2800923567</v>
      </c>
      <c r="X13" s="95">
        <f t="shared" si="2"/>
        <v>5623114.2254946502</v>
      </c>
      <c r="Y13" s="95">
        <f t="shared" si="2"/>
        <v>5662304.5429428015</v>
      </c>
      <c r="Z13" s="95">
        <f t="shared" si="2"/>
        <v>4688145.0279636215</v>
      </c>
      <c r="AA13" s="95">
        <f t="shared" si="2"/>
        <v>4720985.3462785408</v>
      </c>
      <c r="AB13" s="95">
        <f t="shared" si="2"/>
        <v>4754048.7050886825</v>
      </c>
      <c r="AC13" s="95">
        <f t="shared" si="2"/>
        <v>3754112.6192107433</v>
      </c>
      <c r="AD13" s="95">
        <f t="shared" si="2"/>
        <v>4042173.5143408873</v>
      </c>
      <c r="AE13" s="95">
        <f t="shared" si="2"/>
        <v>4072310.8484234279</v>
      </c>
      <c r="AF13" s="95">
        <f t="shared" si="2"/>
        <v>3049833.4224558133</v>
      </c>
      <c r="AG13" s="95">
        <f t="shared" si="2"/>
        <v>3072817.6383760157</v>
      </c>
      <c r="AH13" s="95">
        <f t="shared" si="2"/>
        <v>3095967.5321859759</v>
      </c>
      <c r="AI13" s="95">
        <f t="shared" si="2"/>
        <v>2046844.2981471498</v>
      </c>
      <c r="AJ13" s="95">
        <f t="shared" si="2"/>
        <v>2062598.6341296271</v>
      </c>
      <c r="AK13" s="95">
        <f t="shared" si="2"/>
        <v>2078466.5326173115</v>
      </c>
      <c r="AL13" s="95">
        <f t="shared" si="2"/>
        <v>1002400.8122065947</v>
      </c>
      <c r="AM13" s="95">
        <f t="shared" si="2"/>
        <v>1010626.4513945839</v>
      </c>
      <c r="AN13" s="95">
        <f t="shared" ref="AN13" si="3">SUM(AN6:AN12)</f>
        <v>1018911.3837317199</v>
      </c>
      <c r="AO13" s="95">
        <f t="shared" ref="AO13" si="4">SUM(AO6:AO12)</f>
        <v>3.6622786079533398E-2</v>
      </c>
      <c r="AP13" s="95"/>
      <c r="AQ13" s="95">
        <f t="shared" ref="AQ13" si="5">SUM(AQ6:AQ12)</f>
        <v>0</v>
      </c>
      <c r="AR13" s="95">
        <f t="shared" ref="AR13" si="6">SUM(AR6:AR12)</f>
        <v>0</v>
      </c>
      <c r="AS13" s="95">
        <f t="shared" ref="AS13" si="7">SUM(AS6:AS12)</f>
        <v>0</v>
      </c>
      <c r="AT13" s="95">
        <f t="shared" ref="AT13" si="8">SUM(AT6:AT12)</f>
        <v>0</v>
      </c>
      <c r="AU13" s="95">
        <f t="shared" ref="AU13:BA13" si="9">SUM(AU6:AU12)</f>
        <v>0</v>
      </c>
      <c r="AV13" s="95">
        <f t="shared" si="9"/>
        <v>0</v>
      </c>
      <c r="AW13" s="95">
        <f t="shared" si="9"/>
        <v>0</v>
      </c>
      <c r="AX13" s="95">
        <f t="shared" si="9"/>
        <v>0</v>
      </c>
      <c r="AY13" s="95">
        <f t="shared" si="9"/>
        <v>0</v>
      </c>
      <c r="AZ13" s="95">
        <f t="shared" si="9"/>
        <v>0</v>
      </c>
      <c r="BA13" s="95">
        <f t="shared" si="9"/>
        <v>0</v>
      </c>
    </row>
    <row r="14" spans="1:53" x14ac:dyDescent="0.15"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</row>
    <row r="15" spans="1:53" x14ac:dyDescent="0.15">
      <c r="A15" s="55" t="s">
        <v>71</v>
      </c>
      <c r="F15" s="98">
        <f>Assumptions!$C49</f>
        <v>8.1500000000000003E-2</v>
      </c>
      <c r="G15" s="98">
        <f>Assumptions!$C49</f>
        <v>8.1500000000000003E-2</v>
      </c>
      <c r="H15" s="98">
        <f>Assumptions!$C49</f>
        <v>8.1500000000000003E-2</v>
      </c>
      <c r="I15" s="98">
        <f>Assumptions!$C49</f>
        <v>8.1500000000000003E-2</v>
      </c>
      <c r="J15" s="98">
        <f>Assumptions!$C49</f>
        <v>8.1500000000000003E-2</v>
      </c>
      <c r="K15" s="98">
        <f>Assumptions!$C49</f>
        <v>8.1500000000000003E-2</v>
      </c>
      <c r="L15" s="98">
        <f>Assumptions!$C49</f>
        <v>8.1500000000000003E-2</v>
      </c>
      <c r="M15" s="98">
        <f>Assumptions!$C49</f>
        <v>8.1500000000000003E-2</v>
      </c>
      <c r="N15" s="98">
        <f>Assumptions!$C49</f>
        <v>8.1500000000000003E-2</v>
      </c>
      <c r="O15" s="98">
        <f>Assumptions!$C49</f>
        <v>8.1500000000000003E-2</v>
      </c>
      <c r="P15" s="98">
        <f>Assumptions!$C49</f>
        <v>8.1500000000000003E-2</v>
      </c>
      <c r="Q15" s="98">
        <f>Assumptions!$C49</f>
        <v>8.1500000000000003E-2</v>
      </c>
      <c r="R15" s="98">
        <f>Assumptions!$C49</f>
        <v>8.1500000000000003E-2</v>
      </c>
      <c r="S15" s="98">
        <f>Assumptions!$C49</f>
        <v>8.1500000000000003E-2</v>
      </c>
      <c r="T15" s="98">
        <f>Assumptions!$C49</f>
        <v>8.1500000000000003E-2</v>
      </c>
      <c r="U15" s="98">
        <f>Assumptions!$C49</f>
        <v>8.1500000000000003E-2</v>
      </c>
      <c r="V15" s="98">
        <f>Assumptions!$C49</f>
        <v>8.1500000000000003E-2</v>
      </c>
      <c r="W15" s="98">
        <f>Assumptions!$C49</f>
        <v>8.1500000000000003E-2</v>
      </c>
      <c r="X15" s="98">
        <f>Assumptions!$C49</f>
        <v>8.1500000000000003E-2</v>
      </c>
      <c r="Y15" s="98">
        <f>Assumptions!$C49</f>
        <v>8.1500000000000003E-2</v>
      </c>
      <c r="Z15" s="98">
        <f>Assumptions!$C49</f>
        <v>8.1500000000000003E-2</v>
      </c>
      <c r="AA15" s="98">
        <f>Assumptions!$C49</f>
        <v>8.1500000000000003E-2</v>
      </c>
      <c r="AB15" s="98">
        <f>Assumptions!$C49</f>
        <v>8.1500000000000003E-2</v>
      </c>
      <c r="AC15" s="98">
        <f>Assumptions!$C49</f>
        <v>8.1500000000000003E-2</v>
      </c>
      <c r="AD15" s="98">
        <f>Assumptions!$C49+Assumptions!$C50</f>
        <v>8.6500000000000007E-2</v>
      </c>
      <c r="AE15" s="98">
        <f>Assumptions!$C49+Assumptions!$C50</f>
        <v>8.6500000000000007E-2</v>
      </c>
      <c r="AF15" s="98">
        <f>Assumptions!$C49+Assumptions!$C50</f>
        <v>8.6500000000000007E-2</v>
      </c>
      <c r="AG15" s="98">
        <f>Assumptions!$C49+Assumptions!$C50</f>
        <v>8.6500000000000007E-2</v>
      </c>
      <c r="AH15" s="98">
        <f>Assumptions!$C49+Assumptions!$C50</f>
        <v>8.6500000000000007E-2</v>
      </c>
      <c r="AI15" s="98">
        <f>Assumptions!$C49+Assumptions!$C50</f>
        <v>8.6500000000000007E-2</v>
      </c>
      <c r="AJ15" s="98">
        <f>Assumptions!$C49+Assumptions!$C50</f>
        <v>8.6500000000000007E-2</v>
      </c>
      <c r="AK15" s="98">
        <f>Assumptions!$C49+Assumptions!$C50</f>
        <v>8.6500000000000007E-2</v>
      </c>
      <c r="AL15" s="98">
        <f>Assumptions!$C49+Assumptions!$C50</f>
        <v>8.6500000000000007E-2</v>
      </c>
      <c r="AM15" s="98">
        <f>Assumptions!$C49+Assumptions!$C50</f>
        <v>8.6500000000000007E-2</v>
      </c>
      <c r="AN15" s="98">
        <f>Assumptions!$C49+Assumptions!$C50</f>
        <v>8.6500000000000007E-2</v>
      </c>
      <c r="AO15" s="98">
        <f>Assumptions!$C49+Assumptions!$C50</f>
        <v>8.6500000000000007E-2</v>
      </c>
      <c r="AP15" s="98">
        <f>Assumptions!$C49+Assumptions!$C50</f>
        <v>8.6500000000000007E-2</v>
      </c>
      <c r="AQ15" s="98">
        <f>Assumptions!$C49+Assumptions!$C50</f>
        <v>8.6500000000000007E-2</v>
      </c>
      <c r="AR15" s="98">
        <f>Assumptions!$C49+Assumptions!$C50</f>
        <v>8.6500000000000007E-2</v>
      </c>
      <c r="AS15" s="98">
        <f>Assumptions!$C49+Assumptions!$C50</f>
        <v>8.6500000000000007E-2</v>
      </c>
      <c r="AT15" s="98">
        <f>Assumptions!$C49+Assumptions!$C50</f>
        <v>8.6500000000000007E-2</v>
      </c>
      <c r="AU15" s="98">
        <f>Assumptions!$C49+Assumptions!$C50</f>
        <v>8.6500000000000007E-2</v>
      </c>
      <c r="AV15" s="98">
        <f>Assumptions!$C49+Assumptions!$C50</f>
        <v>8.6500000000000007E-2</v>
      </c>
      <c r="AW15" s="98">
        <f>Assumptions!$C49+Assumptions!$C50</f>
        <v>8.6500000000000007E-2</v>
      </c>
      <c r="AX15" s="98">
        <f>Assumptions!$C49+Assumptions!$C50</f>
        <v>8.6500000000000007E-2</v>
      </c>
      <c r="AY15" s="98">
        <f>Assumptions!$C49+Assumptions!$C50</f>
        <v>8.6500000000000007E-2</v>
      </c>
      <c r="AZ15" s="98">
        <f>Assumptions!$C49+Assumptions!$C50</f>
        <v>8.6500000000000007E-2</v>
      </c>
      <c r="BA15" s="98">
        <f>Assumptions!$C49+Assumptions!$C50</f>
        <v>8.6500000000000007E-2</v>
      </c>
    </row>
    <row r="16" spans="1:53" x14ac:dyDescent="0.15">
      <c r="A16" s="55" t="s">
        <v>11</v>
      </c>
      <c r="F16" s="60">
        <v>0</v>
      </c>
      <c r="G16" s="60">
        <f>F13*G15/12</f>
        <v>0</v>
      </c>
      <c r="H16" s="60">
        <f t="shared" ref="H16:BA16" si="10">G13*H15/12</f>
        <v>0</v>
      </c>
      <c r="I16" s="60">
        <f t="shared" si="10"/>
        <v>0</v>
      </c>
      <c r="J16" s="60">
        <f t="shared" si="10"/>
        <v>0</v>
      </c>
      <c r="K16" s="60">
        <f t="shared" si="10"/>
        <v>0</v>
      </c>
      <c r="L16" s="60">
        <f t="shared" si="10"/>
        <v>0</v>
      </c>
      <c r="M16" s="60">
        <f t="shared" si="10"/>
        <v>7806.8263115104155</v>
      </c>
      <c r="N16" s="60">
        <f t="shared" si="10"/>
        <v>14284.764340209424</v>
      </c>
      <c r="O16" s="60">
        <f t="shared" si="10"/>
        <v>20806.698364686679</v>
      </c>
      <c r="P16" s="60">
        <f t="shared" si="10"/>
        <v>27372.927191080176</v>
      </c>
      <c r="Q16" s="60">
        <f t="shared" si="10"/>
        <v>33983.751654919593</v>
      </c>
      <c r="R16" s="60">
        <f t="shared" si="10"/>
        <v>40639.474634909253</v>
      </c>
      <c r="S16" s="60">
        <f t="shared" si="10"/>
        <v>48053.526066804683</v>
      </c>
      <c r="T16" s="60">
        <f t="shared" si="10"/>
        <v>48386.681264675055</v>
      </c>
      <c r="U16" s="60">
        <f t="shared" si="10"/>
        <v>43758.749141597647</v>
      </c>
      <c r="V16" s="60">
        <f t="shared" si="10"/>
        <v>44062.73564618433</v>
      </c>
      <c r="W16" s="60">
        <f t="shared" si="10"/>
        <v>44368.786725781327</v>
      </c>
      <c r="X16" s="60">
        <f t="shared" si="10"/>
        <v>37925.945402293924</v>
      </c>
      <c r="Y16" s="60">
        <f t="shared" si="10"/>
        <v>38190.317448151167</v>
      </c>
      <c r="Z16" s="60">
        <f t="shared" si="10"/>
        <v>38456.485020819862</v>
      </c>
      <c r="AA16" s="60">
        <f t="shared" si="10"/>
        <v>31840.318314919597</v>
      </c>
      <c r="AB16" s="60">
        <f t="shared" si="10"/>
        <v>32063.358810141755</v>
      </c>
      <c r="AC16" s="60">
        <f t="shared" si="10"/>
        <v>32287.914122060636</v>
      </c>
      <c r="AD16" s="60">
        <f t="shared" si="10"/>
        <v>27060.895130144112</v>
      </c>
      <c r="AE16" s="60">
        <f t="shared" si="10"/>
        <v>29137.334082540565</v>
      </c>
      <c r="AF16" s="60">
        <f t="shared" si="10"/>
        <v>29354.574032385546</v>
      </c>
      <c r="AG16" s="60">
        <f t="shared" si="10"/>
        <v>21984.215920202321</v>
      </c>
      <c r="AH16" s="60">
        <f t="shared" si="10"/>
        <v>22149.893809960446</v>
      </c>
      <c r="AI16" s="60">
        <f t="shared" si="10"/>
        <v>22316.765961173911</v>
      </c>
      <c r="AJ16" s="60">
        <f t="shared" si="10"/>
        <v>14754.335982477372</v>
      </c>
      <c r="AK16" s="60">
        <f t="shared" si="10"/>
        <v>14867.898487684397</v>
      </c>
      <c r="AL16" s="60">
        <f t="shared" si="10"/>
        <v>14982.279589283122</v>
      </c>
      <c r="AM16" s="60">
        <f t="shared" si="10"/>
        <v>7225.6391879892044</v>
      </c>
      <c r="AN16" s="60">
        <f t="shared" si="10"/>
        <v>7284.9323371359596</v>
      </c>
      <c r="AO16" s="60">
        <f t="shared" si="10"/>
        <v>7344.6528910661482</v>
      </c>
      <c r="AP16" s="60">
        <f t="shared" si="10"/>
        <v>2.6398924965663663E-4</v>
      </c>
      <c r="AQ16" s="60">
        <f t="shared" si="10"/>
        <v>0</v>
      </c>
      <c r="AR16" s="60">
        <f t="shared" si="10"/>
        <v>0</v>
      </c>
      <c r="AS16" s="60">
        <f t="shared" si="10"/>
        <v>0</v>
      </c>
      <c r="AT16" s="60">
        <f t="shared" si="10"/>
        <v>0</v>
      </c>
      <c r="AU16" s="60">
        <f t="shared" si="10"/>
        <v>0</v>
      </c>
      <c r="AV16" s="60">
        <f t="shared" si="10"/>
        <v>0</v>
      </c>
      <c r="AW16" s="60">
        <f t="shared" si="10"/>
        <v>0</v>
      </c>
      <c r="AX16" s="60">
        <f t="shared" si="10"/>
        <v>0</v>
      </c>
      <c r="AY16" s="60">
        <f t="shared" si="10"/>
        <v>0</v>
      </c>
      <c r="AZ16" s="60">
        <f t="shared" si="10"/>
        <v>0</v>
      </c>
      <c r="BA16" s="60">
        <f t="shared" si="10"/>
        <v>0</v>
      </c>
    </row>
    <row r="19" spans="36:36" x14ac:dyDescent="0.15">
      <c r="AJ19" s="94"/>
    </row>
    <row r="20" spans="36:36" x14ac:dyDescent="0.15">
      <c r="AJ20" s="88"/>
    </row>
  </sheetData>
  <phoneticPr fontId="23" type="noConversion"/>
  <pageMargins left="0.75" right="0.75" top="1" bottom="1" header="0.5" footer="0.5"/>
  <pageSetup paperSize="5" scale="63" fitToWidth="2" orientation="landscape" r:id="rId1"/>
  <headerFooter alignWithMargins="0">
    <oddFooter>&amp;L&amp;F&amp;CPage &amp;P of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Assumptions</vt:lpstr>
      <vt:lpstr>Sales Proceeds</vt:lpstr>
      <vt:lpstr>Cash Flow</vt:lpstr>
      <vt:lpstr>Debt Schedule</vt:lpstr>
      <vt:lpstr>'Cash Flow'!Print_Titles</vt:lpstr>
      <vt:lpstr>'Sales Proceeds'!Print_Titles</vt:lpstr>
    </vt:vector>
  </TitlesOfParts>
  <Company>Highland Homes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DCF 1 SAMPLE Blank</dc:title>
  <dc:creator>Yazzel Ponce</dc:creator>
  <cp:lastModifiedBy>Kersten, Rachel</cp:lastModifiedBy>
  <cp:lastPrinted>2021-04-11T14:44:54Z</cp:lastPrinted>
  <dcterms:created xsi:type="dcterms:W3CDTF">2000-07-12T18:45:43Z</dcterms:created>
  <dcterms:modified xsi:type="dcterms:W3CDTF">2026-02-23T01:38:37Z</dcterms:modified>
</cp:coreProperties>
</file>